
<file path=[Content_Types].xml><?xml version="1.0" encoding="utf-8"?>
<Types xmlns="http://schemas.openxmlformats.org/package/2006/content-types">
  <Default Extension="xml" ContentType="application/xml"/>
  <Default Extension="rels" ContentType="application/vnd.openxmlformats-package.relationships+xml"/>
  <Default Extension="jpg" ContentType="image/jpeg"/>
  <Default Extension="emf" ContentType="image/x-em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5" lowestEdited="4" rupBuild="28125"/>
  <workbookPr checkCompatibility="1" autoCompressPictures="0"/>
  <bookViews>
    <workbookView xWindow="0" yWindow="0" windowWidth="25600" windowHeight="16060" tabRatio="864"/>
  </bookViews>
  <sheets>
    <sheet name="Variables" sheetId="20" r:id="rId1"/>
    <sheet name="Year 0" sheetId="21" r:id="rId2"/>
    <sheet name="Year 1" sheetId="22" r:id="rId3"/>
    <sheet name="Year 2-3" sheetId="36" r:id="rId4"/>
    <sheet name="Year 4" sheetId="26" r:id="rId5"/>
    <sheet name="Year 5" sheetId="28" r:id="rId6"/>
    <sheet name="Year 6" sheetId="30" r:id="rId7"/>
  </sheets>
  <definedNames>
    <definedName name="Abound">Variables!#REF!</definedName>
    <definedName name="Aliette">Variables!#REF!</definedName>
    <definedName name="Alion">Variables!$J$14</definedName>
    <definedName name="amm_nitrate">Variables!#REF!</definedName>
    <definedName name="Amm_sulfate">Variables!#REF!</definedName>
    <definedName name="avaunt">Variables!$J$10</definedName>
    <definedName name="captan">Variables!#REF!</definedName>
    <definedName name="clamshell">Variables!$B$17</definedName>
    <definedName name="daily_ref">Variables!$B$19</definedName>
    <definedName name="danitol">Variables!#REF!</definedName>
    <definedName name="devrinol">Variables!#REF!</definedName>
    <definedName name="electric_ref">Variables!$B$19</definedName>
    <definedName name="Esteem">Variables!#REF!</definedName>
    <definedName name="fixed_ref">Variables!$B$18</definedName>
    <definedName name="Fontelis">Variables!$J$5</definedName>
    <definedName name="gallery_DF">Variables!#REF!</definedName>
    <definedName name="Gem">Variables!$J$4</definedName>
    <definedName name="glyphosate">Variables!#REF!</definedName>
    <definedName name="grass">Variables!$F$4</definedName>
    <definedName name="Harvest_Days">Variables!$B$20</definedName>
    <definedName name="Harvest_Yr4">Variables!$B$24</definedName>
    <definedName name="Harvest_Yr5">Variables!$B$25</definedName>
    <definedName name="Harvest_Yr6">Variables!$B$26</definedName>
    <definedName name="Harvest_Yr7">Variables!$B$27</definedName>
    <definedName name="Hired_Labor">Variables!$B$3</definedName>
    <definedName name="Hive">Variables!$F$5</definedName>
    <definedName name="Imidan">Variables!#REF!</definedName>
    <definedName name="indar">Variables!$J$3</definedName>
    <definedName name="irr_fixed">Variables!$G$11</definedName>
    <definedName name="irr_months">Variables!$F$26</definedName>
    <definedName name="irr_var">Variables!$F$11</definedName>
    <definedName name="K">Variables!#REF!</definedName>
    <definedName name="Kocide">Variables!#REF!</definedName>
    <definedName name="Land">Variables!$B$8</definedName>
    <definedName name="Land_Tax">Variables!$B$9</definedName>
    <definedName name="lime_sulfur">Variables!#REF!</definedName>
    <definedName name="malathion">Variables!#REF!</definedName>
    <definedName name="Marketing">Variables!$B$21</definedName>
    <definedName name="mulch">Variables!$F$25</definedName>
    <definedName name="MustangMaxx">Variables!#REF!</definedName>
    <definedName name="N">Variables!#REF!</definedName>
    <definedName name="Nova">Variables!#REF!</definedName>
    <definedName name="Op_Labor">Variables!$B$4</definedName>
    <definedName name="P">Variables!#REF!</definedName>
    <definedName name="peat">Variables!$F$24</definedName>
    <definedName name="pest_control">Variables!#REF!</definedName>
    <definedName name="plant">Variables!$B$12</definedName>
    <definedName name="poast">Variables!#REF!</definedName>
    <definedName name="Price">Variables!$B$16</definedName>
    <definedName name="Princep" localSheetId="3">Variables!#REF!</definedName>
    <definedName name="princep">Variables!$J$12</definedName>
    <definedName name="Range">Variables!$E$5:$G$45</definedName>
    <definedName name="rate">Variables!$B$6</definedName>
    <definedName name="Rely">Variables!$J$13</definedName>
    <definedName name="Sevin">Variables!#REF!</definedName>
    <definedName name="simazine">Variables!$J$12</definedName>
    <definedName name="soil_test">Variables!$F$3</definedName>
    <definedName name="sulfur" localSheetId="3">Variables!#REF!</definedName>
    <definedName name="sulfur">Variables!#REF!</definedName>
    <definedName name="surflan">Variables!#REF!</definedName>
    <definedName name="ten">Variables!#REF!</definedName>
    <definedName name="Topsin">Variables!#REF!</definedName>
    <definedName name="Trees">Variables!$B$11</definedName>
  </definedNames>
  <calcPr calcId="140001" concurrentCalc="0"/>
  <extLst>
    <ext xmlns:mx="http://schemas.microsoft.com/office/mac/excel/2008/main" uri="{7523E5D3-25F3-A5E0-1632-64F254C22452}">
      <mx:ArchID Flags="2"/>
    </ext>
  </extLst>
</workbook>
</file>

<file path=xl/calcChain.xml><?xml version="1.0" encoding="utf-8"?>
<calcChain xmlns="http://schemas.openxmlformats.org/spreadsheetml/2006/main">
  <c r="G11" i="20" l="1"/>
  <c r="E29" i="30"/>
  <c r="F29" i="30"/>
  <c r="C6" i="30"/>
  <c r="C6" i="28"/>
  <c r="C6" i="26"/>
  <c r="C13" i="22"/>
  <c r="C12" i="22"/>
  <c r="E51" i="30"/>
  <c r="F46" i="30"/>
  <c r="E42" i="30"/>
  <c r="C41" i="30"/>
  <c r="E40" i="30"/>
  <c r="E39" i="30"/>
  <c r="E30" i="30"/>
  <c r="F30" i="30"/>
  <c r="E19" i="30"/>
  <c r="E16" i="30"/>
  <c r="E6" i="30"/>
  <c r="C40" i="30"/>
  <c r="F40" i="30"/>
  <c r="F39" i="30"/>
  <c r="F6" i="30"/>
  <c r="E51" i="28"/>
  <c r="E42" i="28"/>
  <c r="C41" i="28"/>
  <c r="E40" i="28"/>
  <c r="E39" i="28"/>
  <c r="E30" i="28"/>
  <c r="E29" i="28"/>
  <c r="E19" i="28"/>
  <c r="E16" i="28"/>
  <c r="E6" i="28"/>
  <c r="F6" i="28"/>
  <c r="F29" i="28"/>
  <c r="E41" i="28"/>
  <c r="E41" i="30"/>
  <c r="F41" i="30"/>
  <c r="F30" i="28"/>
  <c r="C40" i="28"/>
  <c r="F40" i="28"/>
  <c r="F41" i="28"/>
  <c r="F39" i="28"/>
  <c r="E51" i="26"/>
  <c r="E42" i="26"/>
  <c r="E40" i="26"/>
  <c r="E39" i="26"/>
  <c r="E30" i="26"/>
  <c r="F30" i="26"/>
  <c r="E29" i="26"/>
  <c r="E19" i="26"/>
  <c r="E16" i="26"/>
  <c r="E6" i="26"/>
  <c r="F6" i="26"/>
  <c r="F39" i="26"/>
  <c r="F29" i="26"/>
  <c r="C40" i="26"/>
  <c r="F40" i="26"/>
  <c r="E41" i="36"/>
  <c r="F41" i="36"/>
  <c r="E31" i="36"/>
  <c r="C21" i="36"/>
  <c r="E19" i="36"/>
  <c r="C19" i="36"/>
  <c r="E18" i="36"/>
  <c r="F15" i="36"/>
  <c r="F19" i="36"/>
  <c r="E43" i="22"/>
  <c r="F43" i="22"/>
  <c r="E33" i="22"/>
  <c r="F33" i="22"/>
  <c r="F32" i="22"/>
  <c r="F35" i="22"/>
  <c r="F24" i="22"/>
  <c r="E21" i="22"/>
  <c r="C21" i="22"/>
  <c r="E20" i="22"/>
  <c r="F16" i="22"/>
  <c r="F15" i="22"/>
  <c r="F14" i="22"/>
  <c r="E12" i="22"/>
  <c r="F12" i="22"/>
  <c r="F11" i="22"/>
  <c r="E33" i="21"/>
  <c r="F33" i="21"/>
  <c r="F23" i="21"/>
  <c r="F25" i="21"/>
  <c r="F15" i="21"/>
  <c r="F14" i="21"/>
  <c r="E13" i="21"/>
  <c r="F13" i="21"/>
  <c r="F12" i="21"/>
  <c r="E11" i="21"/>
  <c r="F11" i="21"/>
  <c r="F16" i="21"/>
  <c r="F36" i="21"/>
  <c r="F18" i="21"/>
  <c r="E15" i="30"/>
  <c r="E15" i="28"/>
  <c r="E15" i="26"/>
  <c r="E21" i="36"/>
  <c r="E23" i="22"/>
  <c r="F21" i="22"/>
  <c r="F23" i="22"/>
  <c r="F15" i="26"/>
  <c r="F19" i="21"/>
  <c r="F28" i="21"/>
  <c r="F30" i="21"/>
  <c r="F39" i="21"/>
  <c r="F15" i="28"/>
  <c r="F15" i="30"/>
  <c r="F16" i="30"/>
  <c r="F17" i="30"/>
  <c r="F13" i="22"/>
  <c r="F46" i="22"/>
  <c r="E25" i="22"/>
  <c r="F25" i="22"/>
  <c r="F27" i="22"/>
  <c r="F38" i="22"/>
  <c r="F40" i="22"/>
  <c r="F49" i="22"/>
  <c r="F28" i="22"/>
  <c r="F11" i="26"/>
  <c r="F12" i="26"/>
  <c r="F13" i="26"/>
  <c r="F14" i="26"/>
  <c r="F16" i="26"/>
  <c r="F17" i="26"/>
  <c r="F19" i="26"/>
  <c r="E41" i="26"/>
  <c r="F41" i="26"/>
  <c r="F42" i="26"/>
  <c r="F44" i="26"/>
  <c r="F48" i="26"/>
  <c r="F28" i="26"/>
  <c r="F32" i="26"/>
  <c r="F11" i="28"/>
  <c r="F12" i="28"/>
  <c r="F13" i="28"/>
  <c r="F14" i="28"/>
  <c r="F16" i="28"/>
  <c r="F17" i="28"/>
  <c r="F19" i="28"/>
  <c r="F42" i="28"/>
  <c r="F44" i="28"/>
  <c r="F48" i="28"/>
  <c r="F28" i="28"/>
  <c r="F32" i="28"/>
  <c r="F11" i="30"/>
  <c r="F12" i="30"/>
  <c r="F13" i="30"/>
  <c r="F14" i="30"/>
  <c r="F19" i="30"/>
  <c r="E21" i="30"/>
  <c r="F21" i="30"/>
  <c r="F42" i="30"/>
  <c r="F44" i="30"/>
  <c r="F48" i="30"/>
  <c r="F28" i="30"/>
  <c r="F32" i="30"/>
  <c r="F30" i="36"/>
  <c r="F31" i="36"/>
  <c r="F11" i="36"/>
  <c r="F12" i="36"/>
  <c r="F13" i="36"/>
  <c r="F14" i="36"/>
  <c r="F21" i="36"/>
  <c r="F22" i="36"/>
  <c r="F44" i="36"/>
  <c r="F51" i="26"/>
  <c r="F51" i="28"/>
  <c r="F51" i="30"/>
  <c r="F33" i="36"/>
  <c r="F23" i="30"/>
  <c r="E21" i="28"/>
  <c r="F21" i="28"/>
  <c r="F23" i="28"/>
  <c r="E21" i="26"/>
  <c r="F21" i="26"/>
  <c r="E23" i="36"/>
  <c r="F23" i="36"/>
  <c r="F25" i="36"/>
  <c r="F26" i="36"/>
  <c r="F35" i="30"/>
  <c r="F56" i="30"/>
  <c r="F24" i="30"/>
  <c r="F49" i="30"/>
  <c r="F35" i="28"/>
  <c r="F24" i="28"/>
  <c r="F23" i="26"/>
  <c r="F36" i="36"/>
  <c r="F38" i="36"/>
  <c r="F47" i="36"/>
  <c r="F24" i="26"/>
  <c r="F35" i="26"/>
  <c r="F49" i="26"/>
  <c r="F49" i="28"/>
  <c r="F56" i="28"/>
  <c r="F56" i="26"/>
</calcChain>
</file>

<file path=xl/sharedStrings.xml><?xml version="1.0" encoding="utf-8"?>
<sst xmlns="http://schemas.openxmlformats.org/spreadsheetml/2006/main" count="335" uniqueCount="110">
  <si>
    <t>Quantity</t>
  </si>
  <si>
    <t>Unit</t>
  </si>
  <si>
    <t>Soil Test</t>
  </si>
  <si>
    <t>assay</t>
  </si>
  <si>
    <t>lbs</t>
  </si>
  <si>
    <t>Irrigation</t>
  </si>
  <si>
    <t>Hired Labor</t>
  </si>
  <si>
    <t>Operator Labor</t>
  </si>
  <si>
    <t>Other</t>
  </si>
  <si>
    <t>Grass Seed</t>
  </si>
  <si>
    <t>year</t>
  </si>
  <si>
    <t>Interest Rate</t>
  </si>
  <si>
    <t>Harvest Variables</t>
  </si>
  <si>
    <t>Refrigeration (annual)</t>
  </si>
  <si>
    <t>Refrigeration (daily)</t>
  </si>
  <si>
    <t>Harvest Days</t>
  </si>
  <si>
    <t>Opportunity Cost of Land</t>
  </si>
  <si>
    <t>Real Estate Tax per Acre</t>
  </si>
  <si>
    <t>acre</t>
  </si>
  <si>
    <t>Soil Buildup Year Summary</t>
  </si>
  <si>
    <t>$/Unit</t>
  </si>
  <si>
    <t>Total</t>
  </si>
  <si>
    <t>Your Estimate</t>
  </si>
  <si>
    <t>GROSS RETURNS</t>
  </si>
  <si>
    <t>VARIABLE COSTS</t>
  </si>
  <si>
    <t>PRODUCTION</t>
  </si>
  <si>
    <t xml:space="preserve">  Soil Test</t>
  </si>
  <si>
    <t>assays</t>
  </si>
  <si>
    <t xml:space="preserve">  Herbicide</t>
  </si>
  <si>
    <t xml:space="preserve">  Grass Seed</t>
  </si>
  <si>
    <t xml:space="preserve">  Variable Machinery Costs</t>
  </si>
  <si>
    <t xml:space="preserve">  Interest</t>
  </si>
  <si>
    <t>TOTAL PRODUCTION COST</t>
  </si>
  <si>
    <t>RETURN ABOVE VARIABLE COSTS</t>
  </si>
  <si>
    <t>FIXED COSTS</t>
  </si>
  <si>
    <t xml:space="preserve">  Fixed Machinery &amp; Equipment Costs</t>
  </si>
  <si>
    <t>TOTAL FIXED COST</t>
  </si>
  <si>
    <t>TOTAL COSTS</t>
  </si>
  <si>
    <t>RETURN TO OPERATOR LABOR, LAND, CAPITAL, AND MGT.</t>
  </si>
  <si>
    <t>Operator and Unpaid Family Labor</t>
  </si>
  <si>
    <t>hrs</t>
  </si>
  <si>
    <t>TOTAL OPERATOR AND UNPAID FAMILY LABOR</t>
  </si>
  <si>
    <t>RETURN TO LAND, CAPITAL, AND MANAGEMENT</t>
  </si>
  <si>
    <t>Totals will vary slightly from budget details due to rounding of labor hours.</t>
  </si>
  <si>
    <t>Planting Year Summary</t>
  </si>
  <si>
    <t xml:space="preserve">  Insecticide</t>
  </si>
  <si>
    <t xml:space="preserve">  Hired Labor</t>
  </si>
  <si>
    <t>hours</t>
  </si>
  <si>
    <t xml:space="preserve">      TOTAL HIRED LABOR</t>
  </si>
  <si>
    <t xml:space="preserve">  Irrigation</t>
  </si>
  <si>
    <t>months</t>
  </si>
  <si>
    <t xml:space="preserve">  Fixed Machinery Costs</t>
  </si>
  <si>
    <t xml:space="preserve">  Fixed Costs on Irrigation System</t>
  </si>
  <si>
    <t xml:space="preserve">  Fungicide</t>
  </si>
  <si>
    <t>Beehive Rental</t>
  </si>
  <si>
    <t>hive</t>
  </si>
  <si>
    <t xml:space="preserve">  Pollination</t>
  </si>
  <si>
    <t>HARVESTING AND MARKETING</t>
  </si>
  <si>
    <t xml:space="preserve">  Marketing Costs</t>
  </si>
  <si>
    <t>gross</t>
  </si>
  <si>
    <t xml:space="preserve">  Refrigeration Costs</t>
  </si>
  <si>
    <t>days</t>
  </si>
  <si>
    <t>TOTAL PREHARVEST COSTS</t>
  </si>
  <si>
    <t>Total Harvest and Marketing Variable Costs</t>
  </si>
  <si>
    <t>Total Harvest Costs</t>
  </si>
  <si>
    <t>RETURN ABOVE PREHARVEST VARIABLE COSTS</t>
  </si>
  <si>
    <t xml:space="preserve">  Containers</t>
  </si>
  <si>
    <t xml:space="preserve">  Fixed Costs on Refrigeration System</t>
  </si>
  <si>
    <t xml:space="preserve">  Fertilizer</t>
  </si>
  <si>
    <t xml:space="preserve">  Fertilizer </t>
  </si>
  <si>
    <t>Container Cost</t>
  </si>
  <si>
    <t>PRICE Per Bushel</t>
  </si>
  <si>
    <t>Quantity Harvested (Bushels)</t>
  </si>
  <si>
    <t>PEACHES, Kentucky, 2019</t>
  </si>
  <si>
    <t xml:space="preserve">  Fertilizer &amp; Lime</t>
  </si>
  <si>
    <t>trees</t>
  </si>
  <si>
    <t xml:space="preserve">    Planting &amp; Weed Control</t>
  </si>
  <si>
    <t>PEACHES, Kentucky 2019</t>
  </si>
  <si>
    <t xml:space="preserve">    Pruning, Weeding</t>
  </si>
  <si>
    <t>Trees per acre</t>
  </si>
  <si>
    <t xml:space="preserve">  Trees</t>
  </si>
  <si>
    <t xml:space="preserve">  Irrigation (Drip Tape, etc.)</t>
  </si>
  <si>
    <t xml:space="preserve">      Pest Control, Weeding</t>
  </si>
  <si>
    <t xml:space="preserve">  includes 48 hrs pruning &amp; thinning</t>
  </si>
  <si>
    <t xml:space="preserve">  includes 60 hours pruning and thinning</t>
  </si>
  <si>
    <t>bags</t>
  </si>
  <si>
    <t>bushels</t>
  </si>
  <si>
    <t xml:space="preserve">      Pest Control, Thinning</t>
  </si>
  <si>
    <t xml:space="preserve">  Tree Guards</t>
  </si>
  <si>
    <t xml:space="preserve">  Fixed Irrigation Costs</t>
  </si>
  <si>
    <t>Non-Bearing Years 2-3 Summary</t>
  </si>
  <si>
    <t>First Bearing Year Summary (Year 4)</t>
  </si>
  <si>
    <t>Second Bearing Year Summary (Year 5)</t>
  </si>
  <si>
    <t>Full Bearing Year Summary (Year 6)</t>
  </si>
  <si>
    <t>Year 4 (First Fruiting)</t>
  </si>
  <si>
    <t>Year 5 (Second Fruiting)</t>
  </si>
  <si>
    <t>Year 6 (Full Production)</t>
  </si>
  <si>
    <t>Marketing Charge (% of gross sales)</t>
  </si>
  <si>
    <t>Peach Tree Cost per tree</t>
  </si>
  <si>
    <t>Monthly variable cost</t>
  </si>
  <si>
    <t>Annual Fixed Cost</t>
  </si>
  <si>
    <t>Assumes $1800 fixed cost depreciated over 7 years</t>
  </si>
  <si>
    <t>pound</t>
  </si>
  <si>
    <t>For more info visit:</t>
  </si>
  <si>
    <t>www.uky.edu/ccd</t>
  </si>
  <si>
    <r>
      <rPr>
        <vertAlign val="superscript"/>
        <sz val="10"/>
        <rFont val="Arial"/>
      </rPr>
      <t>1</t>
    </r>
    <r>
      <rPr>
        <sz val="10"/>
        <rFont val="Arial"/>
      </rPr>
      <t>Matt Ernst is an independent contractor with the Center for Crop Diversification.</t>
    </r>
  </si>
  <si>
    <t>TOTAL FIXED COSTS</t>
  </si>
  <si>
    <t>The author gratefully acknowledges contributions and reviews from  UK Extension Fruit Specialist John Strang, UK Extension Plant Pathologist Nicole Gauthier, and UK Extension Entomologist Ric Bessin.</t>
  </si>
  <si>
    <t xml:space="preserve">Center for Crop Diversification Budget CCD-BG-13 </t>
  </si>
  <si>
    <r>
      <rPr>
        <b/>
        <sz val="16"/>
        <rFont val="Arial"/>
      </rPr>
      <t>2019 Peach Budget Spreadsheet</t>
    </r>
    <r>
      <rPr>
        <b/>
        <sz val="10"/>
        <rFont val="Arial"/>
        <family val="2"/>
      </rPr>
      <t xml:space="preserve">                         </t>
    </r>
    <r>
      <rPr>
        <sz val="10"/>
        <rFont val="Arial"/>
      </rPr>
      <t>Matt Ernst</t>
    </r>
    <r>
      <rPr>
        <vertAlign val="superscript"/>
        <sz val="10"/>
        <rFont val="Arial"/>
      </rPr>
      <t>1</t>
    </r>
    <r>
      <rPr>
        <b/>
        <sz val="10"/>
        <rFont val="Arial"/>
        <family val="2"/>
      </rPr>
      <t xml:space="preserve">                                                                                                                                                                 These budget estimates are based on the best and most accurate input cost information and crop price projections available at the time of release. Further, costs and returns are based on production practices and yield levels thought to be representative of typical growers in Kentucky given normal growing conditions. This publication allows producers to change prices and quantities for easy adaptation of the budgets to their own farming situation. Because price, cost and yield expectations change over time, and because each producer will have unique cost, production and management levels, these budgets can serve only as a template for estimating expenses. This tool is neither a production recommendation nor an estimate of financial returns but is intended to be changed and adapted to match each individual farm or orchard situation.</t>
    </r>
  </si>
</sst>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_(&quot;$&quot;* #,##0.00_);_(&quot;$&quot;* \(#,##0.00\);_(&quot;$&quot;* &quot;-&quot;??_);_(@_)"/>
    <numFmt numFmtId="165" formatCode="_(* #,##0.00_);_(* \(#,##0.00\);_(* &quot;-&quot;??_);_(@_)"/>
    <numFmt numFmtId="166" formatCode="_(* #,##0_);_(* \(#,##0\);_(* &quot;-&quot;??_);_(@_)"/>
  </numFmts>
  <fonts count="19" x14ac:knownFonts="1">
    <font>
      <sz val="10"/>
      <name val="Arial"/>
    </font>
    <font>
      <sz val="10"/>
      <name val="Arial"/>
      <family val="2"/>
    </font>
    <font>
      <b/>
      <sz val="10"/>
      <name val="Arial"/>
      <family val="2"/>
    </font>
    <font>
      <sz val="10"/>
      <name val="Arial"/>
      <family val="2"/>
    </font>
    <font>
      <i/>
      <sz val="10"/>
      <name val="Arial"/>
      <family val="2"/>
    </font>
    <font>
      <sz val="10"/>
      <color indexed="10"/>
      <name val="Arial"/>
      <family val="2"/>
    </font>
    <font>
      <b/>
      <sz val="11"/>
      <name val="Arial"/>
      <family val="2"/>
    </font>
    <font>
      <sz val="10"/>
      <color rgb="FFFF0000"/>
      <name val="Arial"/>
      <family val="2"/>
    </font>
    <font>
      <b/>
      <sz val="10"/>
      <color rgb="FFFF0000"/>
      <name val="Arial"/>
      <family val="2"/>
    </font>
    <font>
      <b/>
      <sz val="16"/>
      <name val="Arial"/>
    </font>
    <font>
      <sz val="11"/>
      <color rgb="FF000000"/>
      <name val="Calibri"/>
    </font>
    <font>
      <u/>
      <sz val="10"/>
      <color theme="10"/>
      <name val="Arial"/>
    </font>
    <font>
      <u/>
      <sz val="10"/>
      <color rgb="FF0000FF"/>
      <name val="Arial"/>
    </font>
    <font>
      <sz val="10"/>
      <color rgb="FF0000FF"/>
      <name val="Arial"/>
    </font>
    <font>
      <vertAlign val="superscript"/>
      <sz val="8"/>
      <name val="Arial"/>
      <family val="2"/>
    </font>
    <font>
      <b/>
      <sz val="8"/>
      <name val="Arial"/>
      <family val="2"/>
    </font>
    <font>
      <b/>
      <sz val="12"/>
      <name val="Arial"/>
      <family val="2"/>
    </font>
    <font>
      <vertAlign val="superscript"/>
      <sz val="10"/>
      <name val="Arial"/>
    </font>
    <font>
      <sz val="8"/>
      <name val="Arial"/>
    </font>
  </fonts>
  <fills count="3">
    <fill>
      <patternFill patternType="none"/>
    </fill>
    <fill>
      <patternFill patternType="gray125"/>
    </fill>
    <fill>
      <patternFill patternType="solid">
        <fgColor rgb="FF008000"/>
        <bgColor indexed="64"/>
      </patternFill>
    </fill>
  </fills>
  <borders count="14">
    <border>
      <left/>
      <right/>
      <top/>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right/>
      <top/>
      <bottom style="thin">
        <color auto="1"/>
      </bottom>
      <diagonal/>
    </border>
    <border>
      <left style="thin">
        <color auto="1"/>
      </left>
      <right style="thin">
        <color auto="1"/>
      </right>
      <top/>
      <bottom style="thin">
        <color auto="1"/>
      </bottom>
      <diagonal/>
    </border>
    <border>
      <left/>
      <right/>
      <top style="thin">
        <color auto="1"/>
      </top>
      <bottom/>
      <diagonal/>
    </border>
    <border>
      <left/>
      <right style="thin">
        <color auto="1"/>
      </right>
      <top/>
      <bottom/>
      <diagonal/>
    </border>
    <border>
      <left style="thin">
        <color auto="1"/>
      </left>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right style="thin">
        <color auto="1"/>
      </right>
      <top style="thin">
        <color auto="1"/>
      </top>
      <bottom style="medium">
        <color auto="1"/>
      </bottom>
      <diagonal/>
    </border>
    <border>
      <left/>
      <right/>
      <top style="thin">
        <color auto="1"/>
      </top>
      <bottom style="medium">
        <color auto="1"/>
      </bottom>
      <diagonal/>
    </border>
    <border>
      <left style="thin">
        <color auto="1"/>
      </left>
      <right/>
      <top style="thin">
        <color auto="1"/>
      </top>
      <bottom style="medium">
        <color auto="1"/>
      </bottom>
      <diagonal/>
    </border>
    <border>
      <left style="thin">
        <color auto="1"/>
      </left>
      <right style="thin">
        <color auto="1"/>
      </right>
      <top style="thin">
        <color auto="1"/>
      </top>
      <bottom style="medium">
        <color auto="1"/>
      </bottom>
      <diagonal/>
    </border>
  </borders>
  <cellStyleXfs count="5">
    <xf numFmtId="0" fontId="0" fillId="0" borderId="0"/>
    <xf numFmtId="165" fontId="1" fillId="0" borderId="0" applyFont="0" applyFill="0" applyBorder="0" applyAlignment="0" applyProtection="0"/>
    <xf numFmtId="164" fontId="1" fillId="0" borderId="0" applyFont="0" applyFill="0" applyBorder="0" applyAlignment="0" applyProtection="0"/>
    <xf numFmtId="9" fontId="1" fillId="0" borderId="0" applyFont="0" applyFill="0" applyBorder="0" applyAlignment="0" applyProtection="0"/>
    <xf numFmtId="0" fontId="11" fillId="0" borderId="0" applyNumberFormat="0" applyFill="0" applyBorder="0" applyAlignment="0" applyProtection="0"/>
  </cellStyleXfs>
  <cellXfs count="88">
    <xf numFmtId="0" fontId="0" fillId="0" borderId="0" xfId="0"/>
    <xf numFmtId="0" fontId="3" fillId="0" borderId="0" xfId="0" applyFont="1"/>
    <xf numFmtId="164" fontId="0" fillId="0" borderId="0" xfId="2" applyFont="1"/>
    <xf numFmtId="166" fontId="0" fillId="0" borderId="0" xfId="1" applyNumberFormat="1" applyFont="1"/>
    <xf numFmtId="9" fontId="0" fillId="0" borderId="0" xfId="3" applyFont="1"/>
    <xf numFmtId="0" fontId="5" fillId="0" borderId="0" xfId="0" applyFont="1"/>
    <xf numFmtId="164" fontId="5" fillId="0" borderId="0" xfId="2" applyFont="1"/>
    <xf numFmtId="0" fontId="0" fillId="0" borderId="0" xfId="0" applyAlignment="1">
      <alignment vertical="center"/>
    </xf>
    <xf numFmtId="164" fontId="1" fillId="0" borderId="0" xfId="2" applyAlignment="1">
      <alignment vertical="center"/>
    </xf>
    <xf numFmtId="0" fontId="2" fillId="0" borderId="1" xfId="0" applyFont="1" applyBorder="1" applyAlignment="1">
      <alignment horizontal="center" vertical="center"/>
    </xf>
    <xf numFmtId="164" fontId="2" fillId="0" borderId="1" xfId="2" applyFont="1" applyBorder="1" applyAlignment="1">
      <alignment horizontal="center" vertical="center"/>
    </xf>
    <xf numFmtId="0" fontId="6" fillId="0" borderId="0" xfId="0" applyFont="1" applyAlignment="1">
      <alignment vertical="center"/>
    </xf>
    <xf numFmtId="164" fontId="0" fillId="0" borderId="0" xfId="0" applyNumberFormat="1" applyAlignment="1">
      <alignment vertical="center"/>
    </xf>
    <xf numFmtId="0" fontId="0" fillId="0" borderId="2" xfId="0" applyBorder="1" applyAlignment="1">
      <alignment vertical="center"/>
    </xf>
    <xf numFmtId="0" fontId="0" fillId="0" borderId="3" xfId="0" applyBorder="1" applyAlignment="1">
      <alignment vertical="center"/>
    </xf>
    <xf numFmtId="164" fontId="1" fillId="0" borderId="3" xfId="2" applyBorder="1" applyAlignment="1">
      <alignment vertical="center"/>
    </xf>
    <xf numFmtId="164" fontId="0" fillId="0" borderId="3" xfId="0" applyNumberFormat="1" applyBorder="1" applyAlignment="1">
      <alignment vertical="center"/>
    </xf>
    <xf numFmtId="164" fontId="2" fillId="0" borderId="0" xfId="0" applyNumberFormat="1" applyFont="1" applyAlignment="1">
      <alignment vertical="center"/>
    </xf>
    <xf numFmtId="0" fontId="0" fillId="0" borderId="4" xfId="0" applyBorder="1" applyAlignment="1">
      <alignment vertical="center"/>
    </xf>
    <xf numFmtId="164" fontId="0" fillId="0" borderId="2" xfId="0" applyNumberFormat="1" applyBorder="1" applyAlignment="1">
      <alignment vertical="center"/>
    </xf>
    <xf numFmtId="165" fontId="1" fillId="0" borderId="0" xfId="1" applyAlignment="1">
      <alignment vertical="center"/>
    </xf>
    <xf numFmtId="0" fontId="2" fillId="0" borderId="3" xfId="0" applyFont="1" applyBorder="1" applyAlignment="1">
      <alignment vertical="center"/>
    </xf>
    <xf numFmtId="164" fontId="1" fillId="0" borderId="0" xfId="2"/>
    <xf numFmtId="165" fontId="0" fillId="0" borderId="0" xfId="1" applyFont="1"/>
    <xf numFmtId="0" fontId="0" fillId="0" borderId="0" xfId="0" applyBorder="1" applyAlignment="1">
      <alignment vertical="center"/>
    </xf>
    <xf numFmtId="0" fontId="4" fillId="0" borderId="0" xfId="0" applyFont="1" applyAlignment="1">
      <alignment vertical="center"/>
    </xf>
    <xf numFmtId="164" fontId="4" fillId="0" borderId="0" xfId="0" applyNumberFormat="1" applyFont="1" applyAlignment="1">
      <alignment vertical="center"/>
    </xf>
    <xf numFmtId="0" fontId="0" fillId="0" borderId="1" xfId="0" applyBorder="1" applyAlignment="1">
      <alignment vertical="center"/>
    </xf>
    <xf numFmtId="165" fontId="0" fillId="0" borderId="0" xfId="1" applyFont="1" applyAlignment="1">
      <alignment vertical="center"/>
    </xf>
    <xf numFmtId="164" fontId="1" fillId="0" borderId="0" xfId="2" applyBorder="1" applyAlignment="1">
      <alignment vertical="center"/>
    </xf>
    <xf numFmtId="164" fontId="0" fillId="0" borderId="0" xfId="0" applyNumberFormat="1" applyBorder="1" applyAlignment="1">
      <alignment vertical="center"/>
    </xf>
    <xf numFmtId="164" fontId="1" fillId="0" borderId="6" xfId="2" applyBorder="1" applyAlignment="1">
      <alignment vertical="center"/>
    </xf>
    <xf numFmtId="9" fontId="0" fillId="0" borderId="0" xfId="0" applyNumberFormat="1" applyBorder="1" applyAlignment="1">
      <alignment vertical="center"/>
    </xf>
    <xf numFmtId="164" fontId="1" fillId="0" borderId="0" xfId="2" applyFont="1"/>
    <xf numFmtId="0" fontId="0" fillId="0" borderId="8" xfId="0" applyBorder="1" applyAlignment="1">
      <alignment vertical="center"/>
    </xf>
    <xf numFmtId="0" fontId="0" fillId="0" borderId="9" xfId="0" applyBorder="1" applyAlignment="1">
      <alignment vertical="center"/>
    </xf>
    <xf numFmtId="0" fontId="0" fillId="0" borderId="2" xfId="0" applyBorder="1"/>
    <xf numFmtId="0" fontId="0" fillId="0" borderId="0" xfId="0" applyBorder="1"/>
    <xf numFmtId="164" fontId="7" fillId="0" borderId="0" xfId="2" applyFont="1"/>
    <xf numFmtId="9" fontId="2" fillId="0" borderId="0" xfId="3" applyFont="1"/>
    <xf numFmtId="164" fontId="8" fillId="0" borderId="0" xfId="2" applyFont="1"/>
    <xf numFmtId="0" fontId="1" fillId="0" borderId="0" xfId="0" applyFont="1"/>
    <xf numFmtId="0" fontId="0" fillId="2" borderId="0" xfId="0" applyFill="1" applyAlignment="1">
      <alignment vertical="center"/>
    </xf>
    <xf numFmtId="164" fontId="1" fillId="2" borderId="0" xfId="2" applyFill="1" applyAlignment="1">
      <alignment vertical="center"/>
    </xf>
    <xf numFmtId="164" fontId="2" fillId="0" borderId="3" xfId="2" applyFont="1" applyBorder="1" applyAlignment="1">
      <alignment vertical="center"/>
    </xf>
    <xf numFmtId="164" fontId="2" fillId="0" borderId="3" xfId="0" applyNumberFormat="1" applyFont="1" applyBorder="1" applyAlignment="1">
      <alignment vertical="center"/>
    </xf>
    <xf numFmtId="0" fontId="2" fillId="0" borderId="5" xfId="0" applyFont="1" applyBorder="1" applyAlignment="1">
      <alignment vertical="center"/>
    </xf>
    <xf numFmtId="164" fontId="2" fillId="0" borderId="5" xfId="2" applyFont="1" applyBorder="1" applyAlignment="1">
      <alignment vertical="center"/>
    </xf>
    <xf numFmtId="164" fontId="2" fillId="0" borderId="5" xfId="0" applyNumberFormat="1" applyFont="1" applyBorder="1" applyAlignment="1">
      <alignment vertical="center"/>
    </xf>
    <xf numFmtId="0" fontId="2" fillId="0" borderId="0" xfId="0" applyFont="1" applyAlignment="1">
      <alignment vertical="center"/>
    </xf>
    <xf numFmtId="164" fontId="2" fillId="0" borderId="0" xfId="2" applyFont="1" applyAlignment="1">
      <alignment vertical="center"/>
    </xf>
    <xf numFmtId="164" fontId="2" fillId="0" borderId="2" xfId="2" applyFont="1" applyBorder="1" applyAlignment="1">
      <alignment vertical="center"/>
    </xf>
    <xf numFmtId="0" fontId="2" fillId="0" borderId="0" xfId="0" applyFont="1" applyBorder="1" applyAlignment="1">
      <alignment vertical="center"/>
    </xf>
    <xf numFmtId="0" fontId="0" fillId="2" borderId="0" xfId="0" applyFill="1" applyBorder="1" applyAlignment="1">
      <alignment vertical="center"/>
    </xf>
    <xf numFmtId="164" fontId="2" fillId="0" borderId="0" xfId="2" applyFont="1" applyBorder="1" applyAlignment="1">
      <alignment vertical="center"/>
    </xf>
    <xf numFmtId="164" fontId="0" fillId="0" borderId="0" xfId="2" applyFont="1" applyAlignment="1">
      <alignment horizontal="center"/>
    </xf>
    <xf numFmtId="164" fontId="12" fillId="0" borderId="0" xfId="4" applyNumberFormat="1" applyFont="1" applyAlignment="1">
      <alignment horizontal="center"/>
    </xf>
    <xf numFmtId="164" fontId="13" fillId="0" borderId="0" xfId="2" applyFont="1"/>
    <xf numFmtId="0" fontId="15" fillId="0" borderId="0" xfId="0" applyFont="1" applyAlignment="1">
      <alignment horizontal="center" vertical="center" wrapText="1"/>
    </xf>
    <xf numFmtId="0" fontId="14" fillId="0" borderId="5" xfId="0" applyFont="1" applyBorder="1"/>
    <xf numFmtId="164" fontId="1" fillId="0" borderId="1" xfId="2" applyBorder="1" applyAlignment="1">
      <alignment vertical="center"/>
    </xf>
    <xf numFmtId="0" fontId="2" fillId="0" borderId="11" xfId="0" applyFont="1" applyBorder="1" applyAlignment="1">
      <alignment vertical="center"/>
    </xf>
    <xf numFmtId="0" fontId="0" fillId="0" borderId="11" xfId="0" applyBorder="1" applyAlignment="1">
      <alignment vertical="center"/>
    </xf>
    <xf numFmtId="164" fontId="1" fillId="0" borderId="11" xfId="2" applyBorder="1" applyAlignment="1">
      <alignment vertical="center"/>
    </xf>
    <xf numFmtId="164" fontId="0" fillId="0" borderId="12" xfId="0" applyNumberFormat="1" applyBorder="1" applyAlignment="1">
      <alignment vertical="center"/>
    </xf>
    <xf numFmtId="0" fontId="0" fillId="0" borderId="13" xfId="0" applyBorder="1" applyAlignment="1">
      <alignment vertical="center"/>
    </xf>
    <xf numFmtId="0" fontId="6" fillId="0" borderId="1" xfId="0" applyFont="1" applyBorder="1" applyAlignment="1">
      <alignment vertical="center"/>
    </xf>
    <xf numFmtId="164" fontId="2" fillId="0" borderId="1" xfId="0" applyNumberFormat="1" applyFont="1" applyBorder="1" applyAlignment="1">
      <alignment vertical="center"/>
    </xf>
    <xf numFmtId="0" fontId="16" fillId="0" borderId="0" xfId="0" applyFont="1" applyAlignment="1">
      <alignment vertical="center"/>
    </xf>
    <xf numFmtId="164" fontId="0" fillId="0" borderId="13" xfId="0" applyNumberFormat="1" applyBorder="1" applyAlignment="1">
      <alignment vertical="center"/>
    </xf>
    <xf numFmtId="0" fontId="0" fillId="0" borderId="13" xfId="0" applyBorder="1"/>
    <xf numFmtId="164" fontId="2" fillId="0" borderId="7" xfId="2" applyFont="1" applyBorder="1" applyAlignment="1">
      <alignment vertical="center"/>
    </xf>
    <xf numFmtId="0" fontId="2" fillId="0" borderId="2" xfId="0" applyFont="1" applyBorder="1" applyAlignment="1">
      <alignment vertical="center"/>
    </xf>
    <xf numFmtId="0" fontId="0" fillId="0" borderId="0" xfId="0" applyNumberFormat="1"/>
    <xf numFmtId="164" fontId="1" fillId="0" borderId="10" xfId="2" applyBorder="1" applyAlignment="1">
      <alignment vertical="center"/>
    </xf>
    <xf numFmtId="0" fontId="0" fillId="0" borderId="0" xfId="0" applyFont="1" applyBorder="1" applyAlignment="1">
      <alignment vertical="center"/>
    </xf>
    <xf numFmtId="164" fontId="1" fillId="0" borderId="0" xfId="2" applyFont="1" applyBorder="1" applyAlignment="1">
      <alignment vertical="center"/>
    </xf>
    <xf numFmtId="0" fontId="14" fillId="0" borderId="0" xfId="0" applyFont="1" applyBorder="1"/>
    <xf numFmtId="164" fontId="0" fillId="0" borderId="0" xfId="2" applyFont="1" applyBorder="1"/>
    <xf numFmtId="0" fontId="0" fillId="0" borderId="5" xfId="0" applyBorder="1"/>
    <xf numFmtId="164" fontId="0" fillId="0" borderId="5" xfId="2" applyFont="1" applyBorder="1"/>
    <xf numFmtId="0" fontId="0" fillId="0" borderId="3" xfId="0" applyFont="1" applyBorder="1" applyAlignment="1">
      <alignment vertical="center"/>
    </xf>
    <xf numFmtId="0" fontId="17" fillId="0" borderId="5" xfId="0" applyFont="1" applyBorder="1"/>
    <xf numFmtId="0" fontId="14" fillId="0" borderId="5" xfId="0" applyFont="1" applyBorder="1"/>
    <xf numFmtId="0" fontId="2" fillId="0" borderId="1" xfId="0" applyNumberFormat="1" applyFont="1" applyBorder="1" applyAlignment="1">
      <alignment horizontal="left" vertical="center" wrapText="1"/>
    </xf>
    <xf numFmtId="0" fontId="2" fillId="0" borderId="1" xfId="0" applyNumberFormat="1" applyFont="1" applyBorder="1" applyAlignment="1">
      <alignment horizontal="center"/>
    </xf>
    <xf numFmtId="0" fontId="0" fillId="0" borderId="1" xfId="0" applyNumberFormat="1" applyBorder="1" applyAlignment="1">
      <alignment horizontal="center"/>
    </xf>
    <xf numFmtId="0" fontId="10" fillId="0" borderId="0" xfId="0" applyFont="1" applyAlignment="1">
      <alignment horizontal="center"/>
    </xf>
  </cellXfs>
  <cellStyles count="5">
    <cellStyle name="Comma" xfId="1" builtinId="3"/>
    <cellStyle name="Currency" xfId="2" builtinId="4"/>
    <cellStyle name="Hyperlink" xfId="4" builtinId="8"/>
    <cellStyle name="Normal" xfId="0" builtinId="0"/>
    <cellStyle name="Percent" xfId="3" builtinId="5"/>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worksheet" Target="worksheets/sheet5.xml"/><Relationship Id="rId6" Type="http://schemas.openxmlformats.org/officeDocument/2006/relationships/worksheet" Target="worksheets/sheet6.xml"/><Relationship Id="rId7" Type="http://schemas.openxmlformats.org/officeDocument/2006/relationships/worksheet" Target="worksheets/sheet7.xml"/><Relationship Id="rId8" Type="http://schemas.openxmlformats.org/officeDocument/2006/relationships/theme" Target="theme/theme1.xml"/><Relationship Id="rId9" Type="http://schemas.openxmlformats.org/officeDocument/2006/relationships/styles" Target="styles.xml"/><Relationship Id="rId10" Type="http://schemas.openxmlformats.org/officeDocument/2006/relationships/sharedStrings" Target="sharedStrings.xml"/><Relationship Id="rId11" Type="http://schemas.openxmlformats.org/officeDocument/2006/relationships/calcChain" Target="calcChain.xml"/><Relationship Id="rId1" Type="http://schemas.openxmlformats.org/officeDocument/2006/relationships/worksheet" Target="worksheets/sheet1.xml"/><Relationship Id="rId2" Type="http://schemas.openxmlformats.org/officeDocument/2006/relationships/worksheet" Target="worksheets/sheet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 Id="rId2" Type="http://schemas.openxmlformats.org/officeDocument/2006/relationships/image" Target="../media/image2.jpg"/><Relationship Id="rId3"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xdr:twoCellAnchor editAs="oneCell">
    <xdr:from>
      <xdr:col>7</xdr:col>
      <xdr:colOff>355594</xdr:colOff>
      <xdr:row>0</xdr:row>
      <xdr:rowOff>347124</xdr:rowOff>
    </xdr:from>
    <xdr:to>
      <xdr:col>10</xdr:col>
      <xdr:colOff>317703</xdr:colOff>
      <xdr:row>0</xdr:row>
      <xdr:rowOff>948267</xdr:rowOff>
    </xdr:to>
    <xdr:pic>
      <xdr:nvPicPr>
        <xdr:cNvPr id="3" name="Picture 2" descr="UK_logo_College_CES_wordmark_blk.jp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585194" y="347124"/>
          <a:ext cx="2510576" cy="601143"/>
        </a:xfrm>
        <a:prstGeom prst="rect">
          <a:avLst/>
        </a:prstGeom>
      </xdr:spPr>
    </xdr:pic>
    <xdr:clientData/>
  </xdr:twoCellAnchor>
  <xdr:twoCellAnchor editAs="oneCell">
    <xdr:from>
      <xdr:col>2</xdr:col>
      <xdr:colOff>533400</xdr:colOff>
      <xdr:row>30</xdr:row>
      <xdr:rowOff>25400</xdr:rowOff>
    </xdr:from>
    <xdr:to>
      <xdr:col>4</xdr:col>
      <xdr:colOff>1185333</xdr:colOff>
      <xdr:row>35</xdr:row>
      <xdr:rowOff>59351</xdr:rowOff>
    </xdr:to>
    <xdr:pic>
      <xdr:nvPicPr>
        <xdr:cNvPr id="2" name="Picture 1" descr="CCDlogo.jpg"/>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750733" y="5808133"/>
          <a:ext cx="2006600" cy="795951"/>
        </a:xfrm>
        <a:prstGeom prst="rect">
          <a:avLst/>
        </a:prstGeom>
      </xdr:spPr>
    </xdr:pic>
    <xdr:clientData/>
  </xdr:twoCellAnchor>
  <xdr:twoCellAnchor editAs="oneCell">
    <xdr:from>
      <xdr:col>0</xdr:col>
      <xdr:colOff>313279</xdr:colOff>
      <xdr:row>38</xdr:row>
      <xdr:rowOff>76209</xdr:rowOff>
    </xdr:from>
    <xdr:to>
      <xdr:col>9</xdr:col>
      <xdr:colOff>474146</xdr:colOff>
      <xdr:row>40</xdr:row>
      <xdr:rowOff>12709</xdr:rowOff>
    </xdr:to>
    <xdr:pic>
      <xdr:nvPicPr>
        <xdr:cNvPr id="5" name="Picture 4" descr="Footer reset.pdf"/>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313279" y="7078142"/>
          <a:ext cx="10261600" cy="2413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hyperlink" Target="http://www.uky.edu/ccd" TargetMode="External"/><Relationship Id="rId2"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A1:K40"/>
  <sheetViews>
    <sheetView tabSelected="1" zoomScale="150" zoomScaleNormal="150" zoomScalePageLayoutView="150" workbookViewId="0">
      <selection sqref="A1:G1"/>
    </sheetView>
  </sheetViews>
  <sheetFormatPr baseColWidth="10" defaultColWidth="8.83203125" defaultRowHeight="12" x14ac:dyDescent="0"/>
  <cols>
    <col min="1" max="1" width="31.83203125" bestFit="1" customWidth="1"/>
    <col min="2" max="2" width="10.33203125" style="2" bestFit="1" customWidth="1"/>
    <col min="5" max="5" width="19.1640625" bestFit="1" customWidth="1"/>
    <col min="6" max="6" width="19.83203125" style="2" bestFit="1" customWidth="1"/>
    <col min="7" max="7" width="8.83203125" style="2"/>
    <col min="9" max="9" width="15.6640625" bestFit="1" customWidth="1"/>
    <col min="10" max="10" width="8.83203125" style="2"/>
  </cols>
  <sheetData>
    <row r="1" spans="1:11" ht="105.75" customHeight="1">
      <c r="A1" s="84" t="s">
        <v>109</v>
      </c>
      <c r="B1" s="84"/>
      <c r="C1" s="84"/>
      <c r="D1" s="84"/>
      <c r="E1" s="84"/>
      <c r="F1" s="84"/>
      <c r="G1" s="84"/>
      <c r="H1" s="85" t="s">
        <v>108</v>
      </c>
      <c r="I1" s="86"/>
      <c r="J1" s="86"/>
      <c r="K1" s="86"/>
    </row>
    <row r="2" spans="1:11">
      <c r="E2" t="s">
        <v>8</v>
      </c>
      <c r="G2"/>
    </row>
    <row r="3" spans="1:11">
      <c r="A3" t="s">
        <v>6</v>
      </c>
      <c r="B3" s="2">
        <v>12.5</v>
      </c>
      <c r="E3" s="41" t="s">
        <v>2</v>
      </c>
      <c r="F3" s="38">
        <v>15</v>
      </c>
      <c r="G3" t="s">
        <v>3</v>
      </c>
    </row>
    <row r="4" spans="1:11">
      <c r="A4" t="s">
        <v>7</v>
      </c>
      <c r="B4" s="2">
        <v>15</v>
      </c>
      <c r="E4" s="41" t="s">
        <v>9</v>
      </c>
      <c r="F4" s="38">
        <v>3</v>
      </c>
      <c r="G4" s="33" t="s">
        <v>102</v>
      </c>
    </row>
    <row r="5" spans="1:11">
      <c r="E5" t="s">
        <v>54</v>
      </c>
      <c r="F5" s="40">
        <v>100</v>
      </c>
      <c r="G5" s="33" t="s">
        <v>55</v>
      </c>
    </row>
    <row r="6" spans="1:11">
      <c r="A6" t="s">
        <v>11</v>
      </c>
      <c r="B6" s="39">
        <v>0.06</v>
      </c>
      <c r="F6" s="40"/>
      <c r="G6" s="33"/>
    </row>
    <row r="7" spans="1:11">
      <c r="F7" s="40"/>
      <c r="G7" s="33"/>
    </row>
    <row r="8" spans="1:11">
      <c r="A8" t="s">
        <v>16</v>
      </c>
      <c r="B8" s="2">
        <v>100</v>
      </c>
      <c r="F8" s="40"/>
      <c r="G8" s="33"/>
    </row>
    <row r="9" spans="1:11">
      <c r="A9" t="s">
        <v>17</v>
      </c>
      <c r="B9" s="2">
        <v>10</v>
      </c>
      <c r="F9" s="40"/>
      <c r="G9" s="33"/>
    </row>
    <row r="10" spans="1:11">
      <c r="F10" s="33" t="s">
        <v>99</v>
      </c>
      <c r="G10" s="33" t="s">
        <v>100</v>
      </c>
      <c r="K10" s="1"/>
    </row>
    <row r="11" spans="1:11">
      <c r="A11" s="41" t="s">
        <v>79</v>
      </c>
      <c r="B11" s="3">
        <v>110</v>
      </c>
      <c r="E11" s="5" t="s">
        <v>5</v>
      </c>
      <c r="F11" s="6">
        <v>41.33</v>
      </c>
      <c r="G11" s="6">
        <f>1800/7</f>
        <v>257.14285714285717</v>
      </c>
      <c r="H11" s="41" t="s">
        <v>101</v>
      </c>
    </row>
    <row r="12" spans="1:11">
      <c r="A12" s="41" t="s">
        <v>98</v>
      </c>
      <c r="B12" s="2">
        <v>10</v>
      </c>
    </row>
    <row r="14" spans="1:11">
      <c r="A14" t="s">
        <v>12</v>
      </c>
    </row>
    <row r="16" spans="1:11">
      <c r="A16" t="s">
        <v>71</v>
      </c>
      <c r="B16" s="40">
        <v>40</v>
      </c>
    </row>
    <row r="17" spans="1:11">
      <c r="A17" t="s">
        <v>70</v>
      </c>
      <c r="B17" s="2">
        <v>0.05</v>
      </c>
    </row>
    <row r="18" spans="1:11">
      <c r="A18" t="s">
        <v>13</v>
      </c>
      <c r="B18" s="2">
        <v>550</v>
      </c>
    </row>
    <row r="19" spans="1:11">
      <c r="A19" t="s">
        <v>14</v>
      </c>
      <c r="B19" s="2">
        <v>1.22</v>
      </c>
    </row>
    <row r="20" spans="1:11">
      <c r="A20" t="s">
        <v>15</v>
      </c>
      <c r="B20" s="23">
        <v>30</v>
      </c>
    </row>
    <row r="21" spans="1:11">
      <c r="A21" s="41" t="s">
        <v>97</v>
      </c>
      <c r="B21" s="4">
        <v>0.1</v>
      </c>
    </row>
    <row r="23" spans="1:11">
      <c r="A23" t="s">
        <v>72</v>
      </c>
      <c r="G23"/>
    </row>
    <row r="24" spans="1:11">
      <c r="A24" s="41" t="s">
        <v>94</v>
      </c>
      <c r="B24" s="3">
        <v>100</v>
      </c>
    </row>
    <row r="25" spans="1:11">
      <c r="A25" s="41" t="s">
        <v>95</v>
      </c>
      <c r="B25" s="3">
        <v>200</v>
      </c>
    </row>
    <row r="26" spans="1:11">
      <c r="A26" s="41" t="s">
        <v>96</v>
      </c>
      <c r="B26" s="3">
        <v>300</v>
      </c>
      <c r="F26" s="3"/>
    </row>
    <row r="27" spans="1:11">
      <c r="B27" s="3"/>
    </row>
    <row r="28" spans="1:11">
      <c r="B28" s="3"/>
    </row>
    <row r="29" spans="1:11" ht="14">
      <c r="A29" s="87" t="s">
        <v>107</v>
      </c>
      <c r="B29" s="87"/>
      <c r="C29" s="87"/>
      <c r="D29" s="87"/>
      <c r="E29" s="87"/>
      <c r="F29" s="87"/>
      <c r="G29" s="87"/>
      <c r="H29" s="87"/>
      <c r="I29" s="87"/>
      <c r="J29" s="87"/>
      <c r="K29" s="87"/>
    </row>
    <row r="30" spans="1:11">
      <c r="B30" s="3"/>
    </row>
    <row r="32" spans="1:11">
      <c r="B32" s="3"/>
      <c r="F32" s="55" t="s">
        <v>103</v>
      </c>
    </row>
    <row r="33" spans="1:11">
      <c r="B33" s="3"/>
    </row>
    <row r="34" spans="1:11">
      <c r="B34" s="3"/>
      <c r="F34" s="56" t="s">
        <v>104</v>
      </c>
      <c r="G34" s="57"/>
    </row>
    <row r="36" spans="1:11">
      <c r="A36" s="37"/>
      <c r="B36" s="78"/>
      <c r="C36" s="37"/>
      <c r="D36" s="37"/>
      <c r="E36" s="37"/>
      <c r="F36" s="78"/>
      <c r="G36" s="78"/>
      <c r="H36" s="37"/>
      <c r="I36" s="37"/>
      <c r="J36" s="78"/>
    </row>
    <row r="37" spans="1:11">
      <c r="A37" s="82"/>
      <c r="B37" s="83"/>
      <c r="C37" s="83"/>
      <c r="D37" s="83"/>
      <c r="E37" s="83"/>
      <c r="F37" s="59"/>
      <c r="G37" s="59"/>
      <c r="H37" s="79"/>
      <c r="I37" s="79"/>
      <c r="J37" s="80"/>
      <c r="K37" s="79"/>
    </row>
    <row r="38" spans="1:11" ht="12" customHeight="1">
      <c r="A38" t="s">
        <v>105</v>
      </c>
      <c r="B38"/>
      <c r="D38" s="77"/>
      <c r="F38" s="58"/>
      <c r="G38" s="58"/>
    </row>
    <row r="39" spans="1:11">
      <c r="C39" s="2"/>
      <c r="E39" s="2"/>
    </row>
    <row r="40" spans="1:11">
      <c r="D40" s="2"/>
    </row>
  </sheetData>
  <mergeCells count="4">
    <mergeCell ref="A37:E37"/>
    <mergeCell ref="A1:G1"/>
    <mergeCell ref="H1:K1"/>
    <mergeCell ref="A29:K29"/>
  </mergeCells>
  <phoneticPr fontId="0" type="noConversion"/>
  <hyperlinks>
    <hyperlink ref="F34" r:id="rId1"/>
  </hyperlinks>
  <pageMargins left="0.75" right="0.75" top="1" bottom="1" header="0.5" footer="0.5"/>
  <pageSetup scale="55" orientation="portrait" horizontalDpi="300" verticalDpi="300"/>
  <headerFooter alignWithMargins="0"/>
  <drawing r:id="rId2"/>
  <extLst>
    <ext xmlns:mx="http://schemas.microsoft.com/office/mac/excel/2008/main" uri="{64002731-A6B0-56B0-2670-7721B7C09600}">
      <mx:PLV Mode="0" OnePage="0" WScale="10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55"/>
  <sheetViews>
    <sheetView zoomScale="150" zoomScaleNormal="150" zoomScalePageLayoutView="150" workbookViewId="0">
      <selection activeCell="G44" sqref="G44"/>
    </sheetView>
  </sheetViews>
  <sheetFormatPr baseColWidth="10" defaultColWidth="8.83203125" defaultRowHeight="12" x14ac:dyDescent="0"/>
  <cols>
    <col min="1" max="1" width="24" customWidth="1"/>
    <col min="6" max="6" width="9.33203125" bestFit="1" customWidth="1"/>
    <col min="7" max="7" width="13.5" bestFit="1" customWidth="1"/>
  </cols>
  <sheetData>
    <row r="1" spans="1:7" ht="15">
      <c r="A1" s="68" t="s">
        <v>73</v>
      </c>
      <c r="B1" s="7"/>
      <c r="C1" s="7"/>
      <c r="D1" s="7"/>
      <c r="E1" s="8"/>
      <c r="F1" s="7"/>
      <c r="G1" s="7"/>
    </row>
    <row r="2" spans="1:7">
      <c r="A2" s="49" t="s">
        <v>19</v>
      </c>
      <c r="B2" s="7"/>
      <c r="C2" s="7"/>
      <c r="D2" s="7"/>
      <c r="E2" s="8"/>
      <c r="F2" s="7"/>
      <c r="G2" s="7"/>
    </row>
    <row r="3" spans="1:7">
      <c r="A3" s="7"/>
      <c r="B3" s="7"/>
      <c r="C3" s="7"/>
      <c r="D3" s="7"/>
      <c r="E3" s="8"/>
      <c r="F3" s="7"/>
      <c r="G3" s="7"/>
    </row>
    <row r="4" spans="1:7" ht="16.5" customHeight="1">
      <c r="A4" s="9"/>
      <c r="B4" s="9"/>
      <c r="C4" s="9" t="s">
        <v>0</v>
      </c>
      <c r="D4" s="9" t="s">
        <v>1</v>
      </c>
      <c r="E4" s="10" t="s">
        <v>20</v>
      </c>
      <c r="F4" s="9" t="s">
        <v>21</v>
      </c>
      <c r="G4" s="9" t="s">
        <v>22</v>
      </c>
    </row>
    <row r="5" spans="1:7">
      <c r="A5" s="7"/>
      <c r="B5" s="7"/>
      <c r="C5" s="7"/>
      <c r="D5" s="7"/>
      <c r="E5" s="8"/>
      <c r="F5" s="7"/>
      <c r="G5" s="7"/>
    </row>
    <row r="6" spans="1:7" ht="13">
      <c r="A6" s="11" t="s">
        <v>23</v>
      </c>
      <c r="B6" s="7"/>
      <c r="C6" s="7"/>
      <c r="D6" s="7"/>
      <c r="E6" s="8"/>
      <c r="F6" s="7"/>
      <c r="G6" s="7"/>
    </row>
    <row r="7" spans="1:7">
      <c r="A7" s="7"/>
      <c r="B7" s="7"/>
      <c r="C7" s="7"/>
      <c r="D7" s="7"/>
      <c r="E7" s="8"/>
      <c r="F7" s="7"/>
      <c r="G7" s="7"/>
    </row>
    <row r="8" spans="1:7">
      <c r="A8" s="42"/>
      <c r="B8" s="42"/>
      <c r="C8" s="42"/>
      <c r="D8" s="42"/>
      <c r="E8" s="43"/>
      <c r="F8" s="42"/>
      <c r="G8" s="42"/>
    </row>
    <row r="9" spans="1:7" ht="13">
      <c r="A9" s="11" t="s">
        <v>24</v>
      </c>
      <c r="B9" s="7"/>
      <c r="C9" s="7"/>
      <c r="D9" s="7"/>
      <c r="E9" s="8"/>
      <c r="F9" s="7"/>
      <c r="G9" s="7"/>
    </row>
    <row r="10" spans="1:7">
      <c r="A10" s="7" t="s">
        <v>25</v>
      </c>
      <c r="B10" s="7"/>
      <c r="C10" s="7"/>
      <c r="D10" s="7"/>
      <c r="E10" s="8"/>
      <c r="F10" s="7"/>
      <c r="G10" s="7"/>
    </row>
    <row r="11" spans="1:7">
      <c r="A11" s="7" t="s">
        <v>26</v>
      </c>
      <c r="B11" s="7"/>
      <c r="C11" s="7">
        <v>2</v>
      </c>
      <c r="D11" s="7" t="s">
        <v>27</v>
      </c>
      <c r="E11" s="8">
        <f>soil_test</f>
        <v>15</v>
      </c>
      <c r="F11" s="12">
        <f>C11*E11</f>
        <v>30</v>
      </c>
      <c r="G11" s="13"/>
    </row>
    <row r="12" spans="1:7">
      <c r="A12" s="7" t="s">
        <v>28</v>
      </c>
      <c r="B12" s="7"/>
      <c r="C12" s="7">
        <v>1</v>
      </c>
      <c r="D12" s="7" t="s">
        <v>18</v>
      </c>
      <c r="E12" s="8">
        <v>18</v>
      </c>
      <c r="F12" s="12">
        <f>C12*E12</f>
        <v>18</v>
      </c>
      <c r="G12" s="13"/>
    </row>
    <row r="13" spans="1:7">
      <c r="A13" s="7" t="s">
        <v>29</v>
      </c>
      <c r="B13" s="7"/>
      <c r="C13" s="7">
        <v>15</v>
      </c>
      <c r="D13" s="7" t="s">
        <v>4</v>
      </c>
      <c r="E13" s="8">
        <f>grass</f>
        <v>3</v>
      </c>
      <c r="F13" s="12">
        <f>C13*E13</f>
        <v>45</v>
      </c>
      <c r="G13" s="13"/>
    </row>
    <row r="14" spans="1:7">
      <c r="A14" s="7" t="s">
        <v>74</v>
      </c>
      <c r="B14" s="7"/>
      <c r="C14" s="7">
        <v>1</v>
      </c>
      <c r="D14" s="7" t="s">
        <v>18</v>
      </c>
      <c r="E14" s="8">
        <v>143.80000000000001</v>
      </c>
      <c r="F14" s="12">
        <f>C14*E14</f>
        <v>143.80000000000001</v>
      </c>
      <c r="G14" s="13"/>
    </row>
    <row r="15" spans="1:7">
      <c r="A15" s="7" t="s">
        <v>30</v>
      </c>
      <c r="B15" s="7"/>
      <c r="C15" s="7">
        <v>1</v>
      </c>
      <c r="D15" s="7" t="s">
        <v>18</v>
      </c>
      <c r="E15" s="8">
        <v>37.75</v>
      </c>
      <c r="F15" s="12">
        <f>C15*E15</f>
        <v>37.75</v>
      </c>
      <c r="G15" s="13"/>
    </row>
    <row r="16" spans="1:7" ht="15" customHeight="1">
      <c r="A16" s="14" t="s">
        <v>31</v>
      </c>
      <c r="B16" s="14"/>
      <c r="C16" s="14"/>
      <c r="D16" s="14"/>
      <c r="E16" s="15"/>
      <c r="F16" s="15">
        <f>0.5*rate*(SUM(F11:F15))</f>
        <v>8.2364999999999995</v>
      </c>
      <c r="G16" s="13"/>
    </row>
    <row r="17" spans="1:7">
      <c r="A17" s="7"/>
      <c r="B17" s="7"/>
      <c r="C17" s="7"/>
      <c r="D17" s="7"/>
      <c r="E17" s="8"/>
      <c r="F17" s="7"/>
      <c r="G17" s="7"/>
    </row>
    <row r="18" spans="1:7" ht="16.5" customHeight="1">
      <c r="A18" s="14" t="s">
        <v>32</v>
      </c>
      <c r="B18" s="14"/>
      <c r="C18" s="14"/>
      <c r="D18" s="14"/>
      <c r="E18" s="15"/>
      <c r="F18" s="16">
        <f>SUM(F11:F16)</f>
        <v>282.78649999999999</v>
      </c>
      <c r="G18" s="13"/>
    </row>
    <row r="19" spans="1:7" ht="16.5" customHeight="1">
      <c r="A19" s="66" t="s">
        <v>33</v>
      </c>
      <c r="B19" s="27"/>
      <c r="C19" s="27"/>
      <c r="D19" s="27"/>
      <c r="E19" s="60"/>
      <c r="F19" s="67">
        <f>F18</f>
        <v>282.78649999999999</v>
      </c>
      <c r="G19" s="13"/>
    </row>
    <row r="20" spans="1:7">
      <c r="A20" s="7"/>
      <c r="B20" s="7"/>
      <c r="C20" s="7"/>
      <c r="D20" s="7"/>
      <c r="E20" s="8"/>
      <c r="F20" s="7"/>
      <c r="G20" s="7"/>
    </row>
    <row r="21" spans="1:7">
      <c r="A21" s="42"/>
      <c r="B21" s="42"/>
      <c r="C21" s="42"/>
      <c r="D21" s="42"/>
      <c r="E21" s="43"/>
      <c r="F21" s="42"/>
      <c r="G21" s="42"/>
    </row>
    <row r="22" spans="1:7" ht="13">
      <c r="A22" s="11" t="s">
        <v>34</v>
      </c>
      <c r="B22" s="7"/>
      <c r="C22" s="7"/>
      <c r="D22" s="7"/>
      <c r="E22" s="8"/>
      <c r="F22" s="7"/>
      <c r="G22" s="7"/>
    </row>
    <row r="23" spans="1:7">
      <c r="A23" s="7" t="s">
        <v>35</v>
      </c>
      <c r="B23" s="7"/>
      <c r="C23" s="7">
        <v>1</v>
      </c>
      <c r="D23" s="7" t="s">
        <v>18</v>
      </c>
      <c r="E23" s="8">
        <v>34.74</v>
      </c>
      <c r="F23" s="12">
        <f>C23*E23</f>
        <v>34.74</v>
      </c>
      <c r="G23" s="13"/>
    </row>
    <row r="24" spans="1:7">
      <c r="A24" s="7"/>
      <c r="B24" s="7"/>
      <c r="C24" s="7"/>
      <c r="D24" s="7"/>
      <c r="E24" s="8"/>
      <c r="F24" s="7"/>
      <c r="G24" s="7"/>
    </row>
    <row r="25" spans="1:7" ht="16.5" customHeight="1">
      <c r="A25" s="46" t="s">
        <v>36</v>
      </c>
      <c r="B25" s="46"/>
      <c r="C25" s="46"/>
      <c r="D25" s="46"/>
      <c r="E25" s="47"/>
      <c r="F25" s="48">
        <f>F23</f>
        <v>34.74</v>
      </c>
      <c r="G25" s="13"/>
    </row>
    <row r="26" spans="1:7">
      <c r="A26" s="7"/>
      <c r="B26" s="7"/>
      <c r="C26" s="7"/>
      <c r="D26" s="7"/>
      <c r="E26" s="8"/>
      <c r="F26" s="7"/>
      <c r="G26" s="7"/>
    </row>
    <row r="27" spans="1:7">
      <c r="A27" s="7"/>
      <c r="B27" s="7"/>
      <c r="C27" s="7"/>
      <c r="D27" s="7"/>
      <c r="E27" s="8"/>
      <c r="F27" s="7"/>
      <c r="G27" s="7"/>
    </row>
    <row r="28" spans="1:7">
      <c r="A28" s="49" t="s">
        <v>37</v>
      </c>
      <c r="B28" s="49"/>
      <c r="C28" s="49"/>
      <c r="D28" s="49"/>
      <c r="E28" s="50"/>
      <c r="F28" s="17">
        <f>F18+F25</f>
        <v>317.5265</v>
      </c>
      <c r="G28" s="13"/>
    </row>
    <row r="29" spans="1:7">
      <c r="A29" s="7"/>
      <c r="B29" s="7"/>
      <c r="C29" s="7"/>
      <c r="D29" s="7"/>
      <c r="E29" s="8"/>
      <c r="F29" s="7"/>
      <c r="G29" s="7"/>
    </row>
    <row r="30" spans="1:7" ht="16.5" customHeight="1">
      <c r="A30" s="27" t="s">
        <v>38</v>
      </c>
      <c r="B30" s="27"/>
      <c r="C30" s="27"/>
      <c r="D30" s="27"/>
      <c r="E30" s="60"/>
      <c r="F30" s="19">
        <f>-F28</f>
        <v>-317.5265</v>
      </c>
      <c r="G30" s="13"/>
    </row>
    <row r="31" spans="1:7">
      <c r="A31" s="7"/>
      <c r="B31" s="7"/>
      <c r="C31" s="7"/>
      <c r="D31" s="7"/>
      <c r="E31" s="8"/>
      <c r="F31" s="7"/>
      <c r="G31" s="7"/>
    </row>
    <row r="32" spans="1:7">
      <c r="A32" s="7"/>
      <c r="B32" s="7"/>
      <c r="C32" s="7"/>
      <c r="D32" s="7"/>
      <c r="E32" s="8"/>
      <c r="F32" s="7"/>
      <c r="G32" s="7"/>
    </row>
    <row r="33" spans="1:7">
      <c r="A33" s="7" t="s">
        <v>39</v>
      </c>
      <c r="B33" s="7"/>
      <c r="C33" s="20">
        <v>2</v>
      </c>
      <c r="D33" s="7" t="s">
        <v>40</v>
      </c>
      <c r="E33" s="8">
        <f>Op_Labor</f>
        <v>15</v>
      </c>
      <c r="F33" s="8">
        <f>C33*E33</f>
        <v>30</v>
      </c>
      <c r="G33" s="13"/>
    </row>
    <row r="34" spans="1:7">
      <c r="A34" s="7"/>
      <c r="B34" s="7"/>
      <c r="C34" s="7"/>
      <c r="D34" s="7"/>
      <c r="E34" s="8"/>
      <c r="F34" s="12"/>
      <c r="G34" s="13"/>
    </row>
    <row r="35" spans="1:7">
      <c r="A35" s="7"/>
      <c r="B35" s="7"/>
      <c r="C35" s="7"/>
      <c r="D35" s="7"/>
      <c r="E35" s="8"/>
      <c r="F35" s="7"/>
      <c r="G35" s="7"/>
    </row>
    <row r="36" spans="1:7">
      <c r="A36" s="7" t="s">
        <v>41</v>
      </c>
      <c r="B36" s="7"/>
      <c r="C36" s="7"/>
      <c r="D36" s="7"/>
      <c r="E36" s="8"/>
      <c r="F36" s="12">
        <f>SUM(F33:F34)</f>
        <v>30</v>
      </c>
      <c r="G36" s="13"/>
    </row>
    <row r="37" spans="1:7">
      <c r="A37" s="7"/>
      <c r="B37" s="7"/>
      <c r="C37" s="7"/>
      <c r="D37" s="7"/>
      <c r="E37" s="8"/>
      <c r="F37" s="7"/>
      <c r="G37" s="7"/>
    </row>
    <row r="38" spans="1:7">
      <c r="A38" s="7"/>
      <c r="B38" s="7"/>
      <c r="C38" s="7"/>
      <c r="D38" s="7"/>
      <c r="E38" s="8"/>
      <c r="F38" s="7"/>
      <c r="G38" s="7"/>
    </row>
    <row r="39" spans="1:7" ht="16.5" customHeight="1" thickBot="1">
      <c r="A39" s="61" t="s">
        <v>42</v>
      </c>
      <c r="B39" s="62"/>
      <c r="C39" s="62"/>
      <c r="D39" s="62"/>
      <c r="E39" s="63"/>
      <c r="F39" s="64">
        <f>F30-F36</f>
        <v>-347.5265</v>
      </c>
      <c r="G39" s="65"/>
    </row>
    <row r="40" spans="1:7">
      <c r="A40" s="7"/>
      <c r="B40" s="7"/>
      <c r="C40" s="7"/>
      <c r="D40" s="7"/>
      <c r="E40" s="8"/>
      <c r="F40" s="7"/>
      <c r="G40" s="24"/>
    </row>
    <row r="41" spans="1:7">
      <c r="A41" s="7"/>
      <c r="B41" s="7"/>
      <c r="C41" s="7"/>
      <c r="D41" s="7"/>
      <c r="E41" s="8"/>
      <c r="F41" s="7"/>
      <c r="G41" s="24"/>
    </row>
    <row r="42" spans="1:7">
      <c r="E42" s="22"/>
      <c r="G42" s="37"/>
    </row>
    <row r="43" spans="1:7">
      <c r="A43" t="s">
        <v>43</v>
      </c>
      <c r="E43" s="22"/>
      <c r="G43" s="37"/>
    </row>
    <row r="44" spans="1:7">
      <c r="G44" s="37"/>
    </row>
    <row r="45" spans="1:7">
      <c r="G45" s="37"/>
    </row>
    <row r="46" spans="1:7">
      <c r="G46" s="37"/>
    </row>
    <row r="47" spans="1:7">
      <c r="G47" s="37"/>
    </row>
    <row r="48" spans="1:7">
      <c r="G48" s="37"/>
    </row>
    <row r="49" spans="7:7">
      <c r="G49" s="37"/>
    </row>
    <row r="50" spans="7:7">
      <c r="G50" s="37"/>
    </row>
    <row r="51" spans="7:7">
      <c r="G51" s="37"/>
    </row>
    <row r="52" spans="7:7">
      <c r="G52" s="37"/>
    </row>
    <row r="53" spans="7:7">
      <c r="G53" s="37"/>
    </row>
    <row r="54" spans="7:7">
      <c r="G54" s="37"/>
    </row>
    <row r="55" spans="7:7">
      <c r="G55" s="37"/>
    </row>
  </sheetData>
  <phoneticPr fontId="0" type="noConversion"/>
  <pageMargins left="0.75" right="0.75" top="1" bottom="1" header="0.5" footer="0.5"/>
  <pageSetup orientation="portrait"/>
  <headerFooter alignWithMargins="0"/>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A1:G74"/>
  <sheetViews>
    <sheetView zoomScale="150" zoomScaleNormal="150" zoomScalePageLayoutView="150" workbookViewId="0">
      <selection activeCell="A35" sqref="A35:F35"/>
    </sheetView>
  </sheetViews>
  <sheetFormatPr baseColWidth="10" defaultColWidth="8.83203125" defaultRowHeight="12" x14ac:dyDescent="0"/>
  <cols>
    <col min="1" max="1" width="24.6640625" customWidth="1"/>
    <col min="6" max="6" width="10.83203125" bestFit="1" customWidth="1"/>
    <col min="7" max="7" width="13.5" bestFit="1" customWidth="1"/>
  </cols>
  <sheetData>
    <row r="1" spans="1:7" ht="15">
      <c r="A1" s="68" t="s">
        <v>77</v>
      </c>
      <c r="B1" s="7"/>
      <c r="C1" s="7"/>
      <c r="D1" s="7"/>
      <c r="E1" s="8"/>
      <c r="F1" s="7"/>
      <c r="G1" s="7"/>
    </row>
    <row r="2" spans="1:7">
      <c r="A2" s="7" t="s">
        <v>44</v>
      </c>
      <c r="B2" s="7"/>
      <c r="C2" s="7"/>
      <c r="D2" s="7"/>
      <c r="E2" s="8"/>
      <c r="F2" s="7"/>
      <c r="G2" s="7"/>
    </row>
    <row r="3" spans="1:7">
      <c r="A3" s="7"/>
      <c r="B3" s="7"/>
      <c r="C3" s="7"/>
      <c r="D3" s="7"/>
      <c r="E3" s="8"/>
      <c r="F3" s="7"/>
      <c r="G3" s="7"/>
    </row>
    <row r="4" spans="1:7" ht="15.75" customHeight="1">
      <c r="A4" s="9"/>
      <c r="B4" s="9"/>
      <c r="C4" s="9" t="s">
        <v>0</v>
      </c>
      <c r="D4" s="9" t="s">
        <v>1</v>
      </c>
      <c r="E4" s="10" t="s">
        <v>20</v>
      </c>
      <c r="F4" s="9" t="s">
        <v>21</v>
      </c>
      <c r="G4" s="9" t="s">
        <v>22</v>
      </c>
    </row>
    <row r="5" spans="1:7">
      <c r="A5" s="7"/>
      <c r="B5" s="7"/>
      <c r="C5" s="7"/>
      <c r="D5" s="7"/>
      <c r="E5" s="8"/>
      <c r="F5" s="7"/>
      <c r="G5" s="7"/>
    </row>
    <row r="6" spans="1:7" ht="13">
      <c r="A6" s="11" t="s">
        <v>23</v>
      </c>
      <c r="B6" s="7"/>
      <c r="C6" s="7"/>
      <c r="D6" s="7"/>
      <c r="E6" s="8"/>
      <c r="F6" s="7"/>
      <c r="G6" s="7"/>
    </row>
    <row r="7" spans="1:7">
      <c r="A7" s="7"/>
      <c r="B7" s="7"/>
      <c r="C7" s="7"/>
      <c r="D7" s="7"/>
      <c r="E7" s="8"/>
      <c r="F7" s="7"/>
      <c r="G7" s="7"/>
    </row>
    <row r="8" spans="1:7">
      <c r="A8" s="42"/>
      <c r="B8" s="42"/>
      <c r="C8" s="42"/>
      <c r="D8" s="42"/>
      <c r="E8" s="43"/>
      <c r="F8" s="42"/>
      <c r="G8" s="42"/>
    </row>
    <row r="9" spans="1:7" ht="13">
      <c r="A9" s="11" t="s">
        <v>24</v>
      </c>
      <c r="B9" s="7"/>
      <c r="C9" s="7"/>
      <c r="D9" s="7"/>
      <c r="E9" s="8"/>
      <c r="F9" s="7"/>
      <c r="G9" s="7"/>
    </row>
    <row r="10" spans="1:7">
      <c r="A10" s="7" t="s">
        <v>25</v>
      </c>
      <c r="B10" s="7"/>
      <c r="C10" s="7"/>
      <c r="D10" s="7"/>
      <c r="E10" s="8"/>
      <c r="F10" s="7"/>
      <c r="G10" s="7"/>
    </row>
    <row r="11" spans="1:7">
      <c r="A11" s="7" t="s">
        <v>28</v>
      </c>
      <c r="B11" s="7"/>
      <c r="C11" s="7">
        <v>1</v>
      </c>
      <c r="D11" s="7" t="s">
        <v>18</v>
      </c>
      <c r="E11" s="8">
        <v>93.8</v>
      </c>
      <c r="F11" s="12">
        <f t="shared" ref="F11:F16" si="0">C11*E11</f>
        <v>93.8</v>
      </c>
      <c r="G11" s="13"/>
    </row>
    <row r="12" spans="1:7">
      <c r="A12" s="7" t="s">
        <v>80</v>
      </c>
      <c r="B12" s="7"/>
      <c r="C12" s="7">
        <f>Trees</f>
        <v>110</v>
      </c>
      <c r="D12" s="7" t="s">
        <v>75</v>
      </c>
      <c r="E12" s="8">
        <f>plant</f>
        <v>10</v>
      </c>
      <c r="F12" s="12">
        <f t="shared" si="0"/>
        <v>1100</v>
      </c>
      <c r="G12" s="13"/>
    </row>
    <row r="13" spans="1:7">
      <c r="A13" s="7" t="s">
        <v>88</v>
      </c>
      <c r="B13" s="7"/>
      <c r="C13" s="7">
        <f>Trees</f>
        <v>110</v>
      </c>
      <c r="D13" s="7" t="s">
        <v>75</v>
      </c>
      <c r="E13" s="8">
        <v>1.55</v>
      </c>
      <c r="F13" s="12">
        <f t="shared" si="0"/>
        <v>170.5</v>
      </c>
      <c r="G13" s="13"/>
    </row>
    <row r="14" spans="1:7">
      <c r="A14" s="7" t="s">
        <v>68</v>
      </c>
      <c r="B14" s="7"/>
      <c r="C14" s="7">
        <v>1</v>
      </c>
      <c r="D14" s="7" t="s">
        <v>18</v>
      </c>
      <c r="E14" s="8">
        <v>47.3</v>
      </c>
      <c r="F14" s="12">
        <f t="shared" si="0"/>
        <v>47.3</v>
      </c>
      <c r="G14" s="13"/>
    </row>
    <row r="15" spans="1:7">
      <c r="A15" s="7" t="s">
        <v>53</v>
      </c>
      <c r="B15" s="7"/>
      <c r="C15" s="7">
        <v>1</v>
      </c>
      <c r="D15" s="7" t="s">
        <v>4</v>
      </c>
      <c r="E15" s="8">
        <v>70.5</v>
      </c>
      <c r="F15" s="12">
        <f t="shared" si="0"/>
        <v>70.5</v>
      </c>
      <c r="G15" s="13"/>
    </row>
    <row r="16" spans="1:7">
      <c r="A16" s="7" t="s">
        <v>45</v>
      </c>
      <c r="B16" s="7"/>
      <c r="C16" s="7">
        <v>1</v>
      </c>
      <c r="D16" s="7" t="s">
        <v>18</v>
      </c>
      <c r="E16" s="8">
        <v>54.8</v>
      </c>
      <c r="F16" s="12">
        <f t="shared" si="0"/>
        <v>54.8</v>
      </c>
      <c r="G16" s="13"/>
    </row>
    <row r="17" spans="1:7">
      <c r="A17" s="7"/>
      <c r="B17" s="7"/>
      <c r="C17" s="7"/>
      <c r="D17" s="7"/>
      <c r="E17" s="8"/>
      <c r="F17" s="12"/>
      <c r="G17" s="13"/>
    </row>
    <row r="18" spans="1:7">
      <c r="A18" s="7"/>
      <c r="B18" s="7"/>
      <c r="C18" s="7"/>
      <c r="D18" s="7"/>
      <c r="E18" s="8"/>
      <c r="F18" s="12"/>
      <c r="G18" s="24"/>
    </row>
    <row r="19" spans="1:7">
      <c r="A19" s="7" t="s">
        <v>46</v>
      </c>
      <c r="B19" s="7"/>
      <c r="C19" s="7"/>
      <c r="D19" s="7"/>
      <c r="E19" s="8"/>
      <c r="F19" s="7"/>
      <c r="G19" s="24"/>
    </row>
    <row r="20" spans="1:7">
      <c r="A20" s="7" t="s">
        <v>76</v>
      </c>
      <c r="B20" s="7"/>
      <c r="C20" s="28">
        <v>20</v>
      </c>
      <c r="D20" s="7" t="s">
        <v>47</v>
      </c>
      <c r="E20" s="8">
        <f>Hired_Labor</f>
        <v>12.5</v>
      </c>
      <c r="F20" s="12"/>
      <c r="G20" s="13"/>
    </row>
    <row r="21" spans="1:7">
      <c r="A21" s="25" t="s">
        <v>48</v>
      </c>
      <c r="B21" s="25"/>
      <c r="C21" s="25">
        <f>SUM(C20:C20)</f>
        <v>20</v>
      </c>
      <c r="D21" s="25" t="s">
        <v>47</v>
      </c>
      <c r="E21" s="8">
        <f>Hired_Labor</f>
        <v>12.5</v>
      </c>
      <c r="F21" s="26">
        <f>C21*E21</f>
        <v>250</v>
      </c>
      <c r="G21" s="13"/>
    </row>
    <row r="22" spans="1:7">
      <c r="A22" s="7"/>
      <c r="B22" s="7"/>
      <c r="C22" s="7"/>
      <c r="D22" s="7"/>
      <c r="E22" s="8"/>
      <c r="F22" s="12"/>
      <c r="G22" s="27"/>
    </row>
    <row r="23" spans="1:7">
      <c r="A23" s="7" t="s">
        <v>81</v>
      </c>
      <c r="B23" s="7"/>
      <c r="C23" s="7">
        <v>1</v>
      </c>
      <c r="D23" s="7" t="s">
        <v>18</v>
      </c>
      <c r="E23" s="8">
        <f>irr_var*6</f>
        <v>247.98</v>
      </c>
      <c r="F23" s="12">
        <f>C23*E23</f>
        <v>247.98</v>
      </c>
      <c r="G23" s="13"/>
    </row>
    <row r="24" spans="1:7">
      <c r="A24" s="7" t="s">
        <v>30</v>
      </c>
      <c r="B24" s="7"/>
      <c r="C24" s="7">
        <v>1</v>
      </c>
      <c r="D24" s="7" t="s">
        <v>18</v>
      </c>
      <c r="E24" s="8">
        <v>89.83</v>
      </c>
      <c r="F24" s="12">
        <f>C24*E24</f>
        <v>89.83</v>
      </c>
      <c r="G24" s="13"/>
    </row>
    <row r="25" spans="1:7" ht="15.75" customHeight="1">
      <c r="A25" s="14" t="s">
        <v>31</v>
      </c>
      <c r="B25" s="14"/>
      <c r="C25" s="14">
        <v>1</v>
      </c>
      <c r="D25" s="14" t="s">
        <v>18</v>
      </c>
      <c r="E25" s="15">
        <f>SUM(F11:F24)*rate*0.5</f>
        <v>63.741299999999995</v>
      </c>
      <c r="F25" s="15">
        <f>C25*E25</f>
        <v>63.741299999999995</v>
      </c>
      <c r="G25" s="13"/>
    </row>
    <row r="26" spans="1:7">
      <c r="A26" s="7"/>
      <c r="B26" s="7"/>
      <c r="C26" s="7"/>
      <c r="D26" s="7"/>
      <c r="E26" s="8"/>
      <c r="F26" s="7"/>
      <c r="G26" s="24"/>
    </row>
    <row r="27" spans="1:7" ht="16.5" customHeight="1">
      <c r="A27" s="14" t="s">
        <v>32</v>
      </c>
      <c r="B27" s="14"/>
      <c r="C27" s="14"/>
      <c r="D27" s="14"/>
      <c r="E27" s="15"/>
      <c r="F27" s="16">
        <f>SUM(F11:F25)</f>
        <v>2188.4513000000002</v>
      </c>
      <c r="G27" s="13"/>
    </row>
    <row r="28" spans="1:7" ht="16.5" customHeight="1">
      <c r="A28" s="66" t="s">
        <v>33</v>
      </c>
      <c r="B28" s="27"/>
      <c r="C28" s="27"/>
      <c r="D28" s="27"/>
      <c r="E28" s="60"/>
      <c r="F28" s="67">
        <f>F6-F27</f>
        <v>-2188.4513000000002</v>
      </c>
      <c r="G28" s="13"/>
    </row>
    <row r="29" spans="1:7">
      <c r="A29" s="7"/>
      <c r="B29" s="7"/>
      <c r="C29" s="7"/>
      <c r="D29" s="7"/>
      <c r="E29" s="8"/>
      <c r="F29" s="7"/>
      <c r="G29" s="7"/>
    </row>
    <row r="30" spans="1:7">
      <c r="A30" s="42"/>
      <c r="B30" s="42"/>
      <c r="C30" s="42"/>
      <c r="D30" s="42"/>
      <c r="E30" s="43"/>
      <c r="F30" s="42"/>
      <c r="G30" s="42"/>
    </row>
    <row r="31" spans="1:7" ht="13">
      <c r="A31" s="11" t="s">
        <v>34</v>
      </c>
      <c r="B31" s="7"/>
      <c r="C31" s="7"/>
      <c r="D31" s="7"/>
      <c r="E31" s="8"/>
      <c r="F31" s="7"/>
      <c r="G31" s="7"/>
    </row>
    <row r="32" spans="1:7">
      <c r="A32" s="7" t="s">
        <v>51</v>
      </c>
      <c r="B32" s="7"/>
      <c r="C32" s="7">
        <v>1</v>
      </c>
      <c r="D32" s="7" t="s">
        <v>18</v>
      </c>
      <c r="E32" s="8">
        <v>30.11</v>
      </c>
      <c r="F32" s="12">
        <f>C32*E32</f>
        <v>30.11</v>
      </c>
      <c r="G32" s="13"/>
    </row>
    <row r="33" spans="1:7">
      <c r="A33" s="7" t="s">
        <v>52</v>
      </c>
      <c r="B33" s="7"/>
      <c r="C33" s="7">
        <v>1</v>
      </c>
      <c r="D33" s="7" t="s">
        <v>10</v>
      </c>
      <c r="E33" s="8">
        <f>irr_fixed</f>
        <v>257.14285714285717</v>
      </c>
      <c r="F33" s="12">
        <f>C33*E33</f>
        <v>257.14285714285717</v>
      </c>
      <c r="G33" s="18"/>
    </row>
    <row r="34" spans="1:7">
      <c r="A34" s="7"/>
      <c r="B34" s="7"/>
      <c r="C34" s="7"/>
      <c r="D34" s="7"/>
      <c r="E34" s="8"/>
      <c r="F34" s="7"/>
      <c r="G34" s="7"/>
    </row>
    <row r="35" spans="1:7" ht="16.5" customHeight="1">
      <c r="A35" s="46" t="s">
        <v>36</v>
      </c>
      <c r="B35" s="46"/>
      <c r="C35" s="46"/>
      <c r="D35" s="46"/>
      <c r="E35" s="47"/>
      <c r="F35" s="48">
        <f>SUM(F32:F34)</f>
        <v>287.25285714285718</v>
      </c>
      <c r="G35" s="13"/>
    </row>
    <row r="36" spans="1:7">
      <c r="A36" s="7"/>
      <c r="B36" s="7"/>
      <c r="C36" s="7"/>
      <c r="D36" s="7"/>
      <c r="E36" s="8"/>
      <c r="F36" s="7"/>
      <c r="G36" s="7"/>
    </row>
    <row r="37" spans="1:7">
      <c r="A37" s="7"/>
      <c r="B37" s="7"/>
      <c r="C37" s="7"/>
      <c r="D37" s="7"/>
      <c r="E37" s="8"/>
      <c r="F37" s="7"/>
      <c r="G37" s="34"/>
    </row>
    <row r="38" spans="1:7" ht="15.75" customHeight="1">
      <c r="A38" s="49" t="s">
        <v>37</v>
      </c>
      <c r="B38" s="49"/>
      <c r="C38" s="49"/>
      <c r="D38" s="49"/>
      <c r="E38" s="50"/>
      <c r="F38" s="71">
        <f>F35+F27</f>
        <v>2475.7041571428572</v>
      </c>
      <c r="G38" s="13"/>
    </row>
    <row r="39" spans="1:7">
      <c r="A39" s="7"/>
      <c r="B39" s="7"/>
      <c r="C39" s="7"/>
      <c r="D39" s="7"/>
      <c r="E39" s="8"/>
      <c r="F39" s="7"/>
      <c r="G39" s="35"/>
    </row>
    <row r="40" spans="1:7" ht="15.75" customHeight="1">
      <c r="A40" s="27" t="s">
        <v>38</v>
      </c>
      <c r="B40" s="27"/>
      <c r="C40" s="27"/>
      <c r="D40" s="27"/>
      <c r="E40" s="60"/>
      <c r="F40" s="19">
        <f>F6-F38</f>
        <v>-2475.7041571428572</v>
      </c>
      <c r="G40" s="13"/>
    </row>
    <row r="41" spans="1:7">
      <c r="A41" s="7"/>
      <c r="B41" s="7"/>
      <c r="C41" s="7"/>
      <c r="D41" s="7"/>
      <c r="E41" s="8"/>
      <c r="F41" s="7"/>
      <c r="G41" s="7"/>
    </row>
    <row r="42" spans="1:7">
      <c r="A42" s="7"/>
      <c r="B42" s="7"/>
      <c r="C42" s="7"/>
      <c r="D42" s="7"/>
      <c r="E42" s="8"/>
      <c r="F42" s="7"/>
      <c r="G42" s="24"/>
    </row>
    <row r="43" spans="1:7">
      <c r="A43" s="7" t="s">
        <v>39</v>
      </c>
      <c r="B43" s="7"/>
      <c r="C43" s="20">
        <v>11.45</v>
      </c>
      <c r="D43" s="7" t="s">
        <v>40</v>
      </c>
      <c r="E43" s="8">
        <f>Op_Labor</f>
        <v>15</v>
      </c>
      <c r="F43" s="8">
        <f>C43*E43</f>
        <v>171.75</v>
      </c>
      <c r="G43" s="13"/>
    </row>
    <row r="44" spans="1:7">
      <c r="A44" s="7"/>
      <c r="B44" s="7"/>
      <c r="C44" s="20"/>
      <c r="D44" s="7"/>
      <c r="E44" s="8"/>
      <c r="F44" s="12"/>
      <c r="G44" s="35"/>
    </row>
    <row r="45" spans="1:7">
      <c r="A45" s="7"/>
      <c r="B45" s="7"/>
      <c r="C45" s="7"/>
      <c r="D45" s="7"/>
      <c r="E45" s="8"/>
      <c r="F45" s="7"/>
      <c r="G45" s="13"/>
    </row>
    <row r="46" spans="1:7">
      <c r="A46" s="7" t="s">
        <v>41</v>
      </c>
      <c r="B46" s="7"/>
      <c r="C46" s="7"/>
      <c r="D46" s="7"/>
      <c r="E46" s="8"/>
      <c r="F46" s="12">
        <f>SUM(F43:F44)</f>
        <v>171.75</v>
      </c>
      <c r="G46" s="13"/>
    </row>
    <row r="47" spans="1:7">
      <c r="A47" s="7"/>
      <c r="B47" s="7"/>
      <c r="C47" s="7"/>
      <c r="D47" s="7"/>
      <c r="E47" s="8"/>
      <c r="F47" s="7"/>
      <c r="G47" s="7"/>
    </row>
    <row r="48" spans="1:7">
      <c r="A48" s="7"/>
      <c r="B48" s="7"/>
      <c r="C48" s="7"/>
      <c r="D48" s="7"/>
      <c r="E48" s="8"/>
      <c r="F48" s="7"/>
      <c r="G48" s="24"/>
    </row>
    <row r="49" spans="1:7" ht="16.5" customHeight="1" thickBot="1">
      <c r="A49" s="61" t="s">
        <v>42</v>
      </c>
      <c r="B49" s="62"/>
      <c r="C49" s="62"/>
      <c r="D49" s="62"/>
      <c r="E49" s="63"/>
      <c r="F49" s="69">
        <f>F40-F46</f>
        <v>-2647.4541571428572</v>
      </c>
      <c r="G49" s="65"/>
    </row>
    <row r="50" spans="1:7">
      <c r="A50" s="7"/>
      <c r="B50" s="7"/>
      <c r="C50" s="7"/>
      <c r="D50" s="7"/>
      <c r="E50" s="8"/>
      <c r="F50" s="7"/>
      <c r="G50" s="7"/>
    </row>
    <row r="51" spans="1:7">
      <c r="E51" s="22"/>
      <c r="G51" s="37"/>
    </row>
    <row r="52" spans="1:7">
      <c r="E52" s="22"/>
      <c r="G52" s="37"/>
    </row>
    <row r="53" spans="1:7">
      <c r="A53" t="s">
        <v>43</v>
      </c>
      <c r="E53" s="22"/>
      <c r="G53" s="37"/>
    </row>
    <row r="54" spans="1:7">
      <c r="G54" s="37"/>
    </row>
    <row r="55" spans="1:7">
      <c r="G55" s="37"/>
    </row>
    <row r="56" spans="1:7">
      <c r="G56" s="37"/>
    </row>
    <row r="57" spans="1:7">
      <c r="G57" s="37"/>
    </row>
    <row r="58" spans="1:7">
      <c r="G58" s="37"/>
    </row>
    <row r="59" spans="1:7">
      <c r="G59" s="37"/>
    </row>
    <row r="60" spans="1:7">
      <c r="G60" s="37"/>
    </row>
    <row r="61" spans="1:7">
      <c r="G61" s="37"/>
    </row>
    <row r="62" spans="1:7">
      <c r="G62" s="37"/>
    </row>
    <row r="63" spans="1:7">
      <c r="G63" s="37"/>
    </row>
    <row r="64" spans="1:7">
      <c r="G64" s="37"/>
    </row>
    <row r="65" spans="7:7">
      <c r="G65" s="37"/>
    </row>
    <row r="66" spans="7:7">
      <c r="G66" s="37"/>
    </row>
    <row r="67" spans="7:7">
      <c r="G67" s="37"/>
    </row>
    <row r="68" spans="7:7">
      <c r="G68" s="37"/>
    </row>
    <row r="69" spans="7:7">
      <c r="G69" s="37"/>
    </row>
    <row r="70" spans="7:7">
      <c r="G70" s="37"/>
    </row>
    <row r="71" spans="7:7">
      <c r="G71" s="37"/>
    </row>
    <row r="72" spans="7:7">
      <c r="G72" s="37"/>
    </row>
    <row r="73" spans="7:7">
      <c r="G73" s="37"/>
    </row>
    <row r="74" spans="7:7">
      <c r="G74" s="37"/>
    </row>
  </sheetData>
  <phoneticPr fontId="0" type="noConversion"/>
  <pageMargins left="0.75" right="0.75" top="1" bottom="1" header="0.5" footer="0.5"/>
  <pageSetup scale="95" orientation="portrait"/>
  <headerFooter alignWithMargins="0"/>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A1:G72"/>
  <sheetViews>
    <sheetView zoomScale="150" zoomScaleNormal="150" zoomScalePageLayoutView="150" workbookViewId="0">
      <selection activeCell="K35" sqref="K35"/>
    </sheetView>
  </sheetViews>
  <sheetFormatPr baseColWidth="10" defaultColWidth="8.83203125" defaultRowHeight="12" x14ac:dyDescent="0"/>
  <cols>
    <col min="1" max="1" width="24.6640625" customWidth="1"/>
    <col min="6" max="6" width="10.83203125" bestFit="1" customWidth="1"/>
    <col min="7" max="7" width="13.5" bestFit="1" customWidth="1"/>
  </cols>
  <sheetData>
    <row r="1" spans="1:7" ht="15">
      <c r="A1" s="68" t="s">
        <v>77</v>
      </c>
      <c r="B1" s="7"/>
      <c r="C1" s="7"/>
      <c r="D1" s="7"/>
      <c r="E1" s="8"/>
      <c r="F1" s="7"/>
      <c r="G1" s="7"/>
    </row>
    <row r="2" spans="1:7">
      <c r="A2" s="7" t="s">
        <v>90</v>
      </c>
      <c r="B2" s="7"/>
      <c r="C2" s="7"/>
      <c r="D2" s="7"/>
      <c r="E2" s="8"/>
      <c r="F2" s="7"/>
      <c r="G2" s="7"/>
    </row>
    <row r="3" spans="1:7">
      <c r="A3" s="7"/>
      <c r="B3" s="7"/>
      <c r="C3" s="7"/>
      <c r="D3" s="7"/>
      <c r="E3" s="8"/>
      <c r="F3" s="7"/>
      <c r="G3" s="7"/>
    </row>
    <row r="4" spans="1:7" ht="15.75" customHeight="1">
      <c r="A4" s="9"/>
      <c r="B4" s="9"/>
      <c r="C4" s="9" t="s">
        <v>0</v>
      </c>
      <c r="D4" s="9" t="s">
        <v>1</v>
      </c>
      <c r="E4" s="10" t="s">
        <v>20</v>
      </c>
      <c r="F4" s="9" t="s">
        <v>21</v>
      </c>
      <c r="G4" s="9" t="s">
        <v>22</v>
      </c>
    </row>
    <row r="5" spans="1:7">
      <c r="A5" s="7"/>
      <c r="B5" s="7"/>
      <c r="C5" s="7"/>
      <c r="D5" s="7"/>
      <c r="E5" s="8"/>
      <c r="F5" s="7"/>
      <c r="G5" s="7"/>
    </row>
    <row r="6" spans="1:7" ht="13">
      <c r="A6" s="11" t="s">
        <v>23</v>
      </c>
      <c r="B6" s="7"/>
      <c r="C6" s="7"/>
      <c r="D6" s="7"/>
      <c r="E6" s="8"/>
      <c r="F6" s="7"/>
      <c r="G6" s="7"/>
    </row>
    <row r="7" spans="1:7">
      <c r="A7" s="7"/>
      <c r="B7" s="7"/>
      <c r="C7" s="7"/>
      <c r="D7" s="7"/>
      <c r="E7" s="8"/>
      <c r="F7" s="7"/>
      <c r="G7" s="7"/>
    </row>
    <row r="8" spans="1:7">
      <c r="A8" s="42"/>
      <c r="B8" s="42"/>
      <c r="C8" s="42"/>
      <c r="D8" s="42"/>
      <c r="E8" s="43"/>
      <c r="F8" s="42"/>
      <c r="G8" s="42"/>
    </row>
    <row r="9" spans="1:7" ht="13">
      <c r="A9" s="11" t="s">
        <v>24</v>
      </c>
      <c r="B9" s="7"/>
      <c r="C9" s="7"/>
      <c r="D9" s="7"/>
      <c r="E9" s="8"/>
      <c r="F9" s="7"/>
      <c r="G9" s="7"/>
    </row>
    <row r="10" spans="1:7">
      <c r="A10" s="7" t="s">
        <v>25</v>
      </c>
      <c r="B10" s="7"/>
      <c r="C10" s="7"/>
      <c r="D10" s="7"/>
      <c r="E10" s="8"/>
      <c r="F10" s="7"/>
      <c r="G10" s="7"/>
    </row>
    <row r="11" spans="1:7">
      <c r="A11" s="7" t="s">
        <v>68</v>
      </c>
      <c r="B11" s="7"/>
      <c r="C11" s="7">
        <v>1</v>
      </c>
      <c r="D11" s="7" t="s">
        <v>18</v>
      </c>
      <c r="E11" s="8">
        <v>87.3</v>
      </c>
      <c r="F11" s="12">
        <f t="shared" ref="F11:F15" si="0">C11*E11</f>
        <v>87.3</v>
      </c>
      <c r="G11" s="13"/>
    </row>
    <row r="12" spans="1:7">
      <c r="A12" s="7" t="s">
        <v>28</v>
      </c>
      <c r="B12" s="7"/>
      <c r="C12" s="7">
        <v>1</v>
      </c>
      <c r="D12" s="7" t="s">
        <v>18</v>
      </c>
      <c r="E12" s="8">
        <v>111.9</v>
      </c>
      <c r="F12" s="12">
        <f t="shared" si="0"/>
        <v>111.9</v>
      </c>
      <c r="G12" s="13"/>
    </row>
    <row r="13" spans="1:7">
      <c r="A13" s="7" t="s">
        <v>45</v>
      </c>
      <c r="B13" s="7"/>
      <c r="C13" s="7">
        <v>1</v>
      </c>
      <c r="D13" s="7" t="s">
        <v>18</v>
      </c>
      <c r="E13" s="8">
        <v>54.8</v>
      </c>
      <c r="F13" s="12">
        <f>C13*E13</f>
        <v>54.8</v>
      </c>
      <c r="G13" s="13"/>
    </row>
    <row r="14" spans="1:7">
      <c r="A14" s="7" t="s">
        <v>53</v>
      </c>
      <c r="B14" s="7"/>
      <c r="C14" s="7">
        <v>1</v>
      </c>
      <c r="D14" s="7" t="s">
        <v>18</v>
      </c>
      <c r="E14" s="8">
        <v>70.5</v>
      </c>
      <c r="F14" s="12">
        <f>C14*E14</f>
        <v>70.5</v>
      </c>
      <c r="G14" s="13"/>
    </row>
    <row r="15" spans="1:7">
      <c r="A15" s="7"/>
      <c r="B15" s="7"/>
      <c r="C15" s="7"/>
      <c r="D15" s="7"/>
      <c r="E15" s="8"/>
      <c r="F15" s="12">
        <f t="shared" si="0"/>
        <v>0</v>
      </c>
      <c r="G15" s="13"/>
    </row>
    <row r="16" spans="1:7">
      <c r="A16" s="7"/>
      <c r="B16" s="7"/>
      <c r="C16" s="7"/>
      <c r="D16" s="7"/>
      <c r="E16" s="8"/>
      <c r="F16" s="12"/>
      <c r="G16" s="24"/>
    </row>
    <row r="17" spans="1:7">
      <c r="A17" s="7" t="s">
        <v>46</v>
      </c>
      <c r="B17" s="7"/>
      <c r="C17" s="7"/>
      <c r="D17" s="7"/>
      <c r="E17" s="8"/>
      <c r="F17" s="7"/>
      <c r="G17" s="24"/>
    </row>
    <row r="18" spans="1:7">
      <c r="A18" s="7" t="s">
        <v>78</v>
      </c>
      <c r="B18" s="7"/>
      <c r="C18" s="28">
        <v>18</v>
      </c>
      <c r="D18" s="7" t="s">
        <v>47</v>
      </c>
      <c r="E18" s="8">
        <f>Hired_Labor</f>
        <v>12.5</v>
      </c>
      <c r="F18" s="12"/>
      <c r="G18" s="13"/>
    </row>
    <row r="19" spans="1:7">
      <c r="A19" s="25" t="s">
        <v>48</v>
      </c>
      <c r="B19" s="25"/>
      <c r="C19" s="25">
        <f>SUM(C18:C18)</f>
        <v>18</v>
      </c>
      <c r="D19" s="25" t="s">
        <v>47</v>
      </c>
      <c r="E19" s="8">
        <f>Hired_Labor</f>
        <v>12.5</v>
      </c>
      <c r="F19" s="26">
        <f>C19*E19</f>
        <v>225</v>
      </c>
      <c r="G19" s="13"/>
    </row>
    <row r="20" spans="1:7">
      <c r="A20" s="7"/>
      <c r="B20" s="7"/>
      <c r="C20" s="7"/>
      <c r="D20" s="7"/>
      <c r="E20" s="8"/>
      <c r="F20" s="12"/>
      <c r="G20" s="27"/>
    </row>
    <row r="21" spans="1:7">
      <c r="A21" s="7" t="s">
        <v>49</v>
      </c>
      <c r="B21" s="7"/>
      <c r="C21" s="7">
        <f>irr_months</f>
        <v>0</v>
      </c>
      <c r="D21" s="7" t="s">
        <v>50</v>
      </c>
      <c r="E21" s="8">
        <f>irr_var</f>
        <v>41.33</v>
      </c>
      <c r="F21" s="12">
        <f>C21*E21</f>
        <v>0</v>
      </c>
      <c r="G21" s="13"/>
    </row>
    <row r="22" spans="1:7">
      <c r="A22" s="7" t="s">
        <v>30</v>
      </c>
      <c r="B22" s="7"/>
      <c r="C22" s="7">
        <v>1</v>
      </c>
      <c r="D22" s="7" t="s">
        <v>18</v>
      </c>
      <c r="E22" s="8">
        <v>17.34</v>
      </c>
      <c r="F22" s="12">
        <f>C22*E22</f>
        <v>17.34</v>
      </c>
      <c r="G22" s="13"/>
    </row>
    <row r="23" spans="1:7" ht="15.75" customHeight="1">
      <c r="A23" s="14" t="s">
        <v>31</v>
      </c>
      <c r="B23" s="14"/>
      <c r="C23" s="14">
        <v>1</v>
      </c>
      <c r="D23" s="14" t="s">
        <v>18</v>
      </c>
      <c r="E23" s="15">
        <f>SUM(F11:F22)*rate*0.5</f>
        <v>17.005200000000002</v>
      </c>
      <c r="F23" s="15">
        <f>C23*E23</f>
        <v>17.005200000000002</v>
      </c>
      <c r="G23" s="13"/>
    </row>
    <row r="24" spans="1:7">
      <c r="A24" s="7"/>
      <c r="B24" s="7"/>
      <c r="C24" s="7"/>
      <c r="D24" s="7"/>
      <c r="E24" s="8"/>
      <c r="F24" s="7"/>
      <c r="G24" s="24"/>
    </row>
    <row r="25" spans="1:7" ht="16.5" customHeight="1">
      <c r="A25" s="14" t="s">
        <v>32</v>
      </c>
      <c r="B25" s="14"/>
      <c r="C25" s="14"/>
      <c r="D25" s="14"/>
      <c r="E25" s="15"/>
      <c r="F25" s="16">
        <f>SUM(F11:F23)</f>
        <v>583.84519999999998</v>
      </c>
      <c r="G25" s="13"/>
    </row>
    <row r="26" spans="1:7" ht="16.5" customHeight="1">
      <c r="A26" s="66" t="s">
        <v>33</v>
      </c>
      <c r="B26" s="27"/>
      <c r="C26" s="27"/>
      <c r="D26" s="27"/>
      <c r="E26" s="60"/>
      <c r="F26" s="67">
        <f>F6-F25</f>
        <v>-583.84519999999998</v>
      </c>
      <c r="G26" s="13"/>
    </row>
    <row r="27" spans="1:7">
      <c r="A27" s="7"/>
      <c r="B27" s="7"/>
      <c r="C27" s="7"/>
      <c r="D27" s="7"/>
      <c r="E27" s="8"/>
      <c r="F27" s="7"/>
      <c r="G27" s="7"/>
    </row>
    <row r="28" spans="1:7">
      <c r="A28" s="42"/>
      <c r="B28" s="42"/>
      <c r="C28" s="42"/>
      <c r="D28" s="42"/>
      <c r="E28" s="43"/>
      <c r="F28" s="42"/>
      <c r="G28" s="42"/>
    </row>
    <row r="29" spans="1:7" ht="13">
      <c r="A29" s="11" t="s">
        <v>34</v>
      </c>
      <c r="B29" s="7"/>
      <c r="C29" s="7"/>
      <c r="D29" s="7"/>
      <c r="E29" s="8"/>
      <c r="F29" s="7"/>
      <c r="G29" s="7"/>
    </row>
    <row r="30" spans="1:7">
      <c r="A30" s="7" t="s">
        <v>51</v>
      </c>
      <c r="B30" s="7"/>
      <c r="C30" s="7">
        <v>1</v>
      </c>
      <c r="D30" s="7" t="s">
        <v>18</v>
      </c>
      <c r="E30" s="8">
        <v>23.74</v>
      </c>
      <c r="F30" s="12">
        <f>C30*E30</f>
        <v>23.74</v>
      </c>
      <c r="G30" s="13"/>
    </row>
    <row r="31" spans="1:7">
      <c r="A31" s="7" t="s">
        <v>52</v>
      </c>
      <c r="B31" s="7"/>
      <c r="C31" s="7">
        <v>1</v>
      </c>
      <c r="D31" s="7" t="s">
        <v>10</v>
      </c>
      <c r="E31" s="8">
        <f>irr_fixed</f>
        <v>257.14285714285717</v>
      </c>
      <c r="F31" s="12">
        <f>C31*E31</f>
        <v>257.14285714285717</v>
      </c>
      <c r="G31" s="18"/>
    </row>
    <row r="32" spans="1:7">
      <c r="A32" s="7"/>
      <c r="B32" s="7"/>
      <c r="C32" s="7"/>
      <c r="D32" s="7"/>
      <c r="E32" s="8"/>
      <c r="F32" s="7"/>
      <c r="G32" s="7"/>
    </row>
    <row r="33" spans="1:7" ht="16.5" customHeight="1">
      <c r="A33" s="46" t="s">
        <v>36</v>
      </c>
      <c r="B33" s="46"/>
      <c r="C33" s="46"/>
      <c r="D33" s="46"/>
      <c r="E33" s="47"/>
      <c r="F33" s="48">
        <f>SUM(F30:F32)</f>
        <v>280.88285714285718</v>
      </c>
      <c r="G33" s="13"/>
    </row>
    <row r="34" spans="1:7">
      <c r="A34" s="7"/>
      <c r="B34" s="7"/>
      <c r="C34" s="7"/>
      <c r="D34" s="7"/>
      <c r="E34" s="8"/>
      <c r="F34" s="7"/>
      <c r="G34" s="7"/>
    </row>
    <row r="35" spans="1:7">
      <c r="A35" s="7"/>
      <c r="B35" s="7"/>
      <c r="C35" s="7"/>
      <c r="D35" s="7"/>
      <c r="E35" s="8"/>
      <c r="F35" s="7"/>
      <c r="G35" s="34"/>
    </row>
    <row r="36" spans="1:7" ht="15.75" customHeight="1">
      <c r="A36" s="49" t="s">
        <v>37</v>
      </c>
      <c r="B36" s="49"/>
      <c r="C36" s="49"/>
      <c r="D36" s="49"/>
      <c r="E36" s="50"/>
      <c r="F36" s="71">
        <f>F33+F25</f>
        <v>864.7280571428571</v>
      </c>
      <c r="G36" s="13"/>
    </row>
    <row r="37" spans="1:7">
      <c r="A37" s="7"/>
      <c r="B37" s="7"/>
      <c r="C37" s="7"/>
      <c r="D37" s="7"/>
      <c r="E37" s="8"/>
      <c r="F37" s="7"/>
      <c r="G37" s="35"/>
    </row>
    <row r="38" spans="1:7" ht="15.75" customHeight="1">
      <c r="A38" s="27" t="s">
        <v>38</v>
      </c>
      <c r="B38" s="27"/>
      <c r="C38" s="27"/>
      <c r="D38" s="27"/>
      <c r="E38" s="60"/>
      <c r="F38" s="19">
        <f>F6-F36</f>
        <v>-864.7280571428571</v>
      </c>
      <c r="G38" s="13"/>
    </row>
    <row r="39" spans="1:7">
      <c r="A39" s="7"/>
      <c r="B39" s="7"/>
      <c r="C39" s="7"/>
      <c r="D39" s="7"/>
      <c r="E39" s="8"/>
      <c r="F39" s="7"/>
      <c r="G39" s="7"/>
    </row>
    <row r="40" spans="1:7">
      <c r="A40" s="7"/>
      <c r="B40" s="7"/>
      <c r="C40" s="7"/>
      <c r="D40" s="7"/>
      <c r="E40" s="8"/>
      <c r="F40" s="7"/>
      <c r="G40" s="24"/>
    </row>
    <row r="41" spans="1:7">
      <c r="A41" s="7" t="s">
        <v>39</v>
      </c>
      <c r="B41" s="7"/>
      <c r="C41" s="20">
        <v>12</v>
      </c>
      <c r="D41" s="7" t="s">
        <v>40</v>
      </c>
      <c r="E41" s="8">
        <f>Op_Labor</f>
        <v>15</v>
      </c>
      <c r="F41" s="8">
        <f>C41*E41</f>
        <v>180</v>
      </c>
      <c r="G41" s="13"/>
    </row>
    <row r="42" spans="1:7">
      <c r="A42" s="7"/>
      <c r="B42" s="7"/>
      <c r="C42" s="20"/>
      <c r="D42" s="7"/>
      <c r="E42" s="8"/>
      <c r="F42" s="12"/>
      <c r="G42" s="35"/>
    </row>
    <row r="43" spans="1:7">
      <c r="A43" s="7"/>
      <c r="B43" s="7"/>
      <c r="C43" s="7"/>
      <c r="D43" s="7"/>
      <c r="E43" s="8"/>
      <c r="F43" s="7"/>
      <c r="G43" s="13"/>
    </row>
    <row r="44" spans="1:7">
      <c r="A44" s="7" t="s">
        <v>41</v>
      </c>
      <c r="B44" s="7"/>
      <c r="C44" s="7"/>
      <c r="D44" s="7"/>
      <c r="E44" s="8"/>
      <c r="F44" s="12">
        <f>SUM(F41:F42)</f>
        <v>180</v>
      </c>
      <c r="G44" s="13"/>
    </row>
    <row r="45" spans="1:7">
      <c r="A45" s="7"/>
      <c r="B45" s="7"/>
      <c r="C45" s="7"/>
      <c r="D45" s="7"/>
      <c r="E45" s="8"/>
      <c r="F45" s="7"/>
      <c r="G45" s="7"/>
    </row>
    <row r="46" spans="1:7">
      <c r="A46" s="7"/>
      <c r="B46" s="7"/>
      <c r="C46" s="7"/>
      <c r="D46" s="7"/>
      <c r="E46" s="8"/>
      <c r="F46" s="7"/>
      <c r="G46" s="24"/>
    </row>
    <row r="47" spans="1:7" ht="16.5" customHeight="1" thickBot="1">
      <c r="A47" s="61" t="s">
        <v>42</v>
      </c>
      <c r="B47" s="62"/>
      <c r="C47" s="62"/>
      <c r="D47" s="62"/>
      <c r="E47" s="63"/>
      <c r="F47" s="69">
        <f>F38-F44</f>
        <v>-1044.7280571428571</v>
      </c>
      <c r="G47" s="65"/>
    </row>
    <row r="48" spans="1:7">
      <c r="A48" s="7"/>
      <c r="B48" s="7"/>
      <c r="C48" s="7"/>
      <c r="D48" s="7"/>
      <c r="E48" s="8"/>
      <c r="F48" s="7"/>
      <c r="G48" s="7"/>
    </row>
    <row r="49" spans="1:7">
      <c r="E49" s="22"/>
      <c r="G49" s="37"/>
    </row>
    <row r="50" spans="1:7">
      <c r="E50" s="22"/>
      <c r="G50" s="37"/>
    </row>
    <row r="51" spans="1:7">
      <c r="A51" t="s">
        <v>43</v>
      </c>
      <c r="E51" s="22"/>
      <c r="G51" s="37"/>
    </row>
    <row r="52" spans="1:7">
      <c r="G52" s="37"/>
    </row>
    <row r="53" spans="1:7">
      <c r="G53" s="37"/>
    </row>
    <row r="54" spans="1:7">
      <c r="G54" s="37"/>
    </row>
    <row r="55" spans="1:7">
      <c r="G55" s="37"/>
    </row>
    <row r="56" spans="1:7">
      <c r="G56" s="37"/>
    </row>
    <row r="57" spans="1:7">
      <c r="G57" s="37"/>
    </row>
    <row r="58" spans="1:7">
      <c r="G58" s="37"/>
    </row>
    <row r="59" spans="1:7">
      <c r="G59" s="37"/>
    </row>
    <row r="60" spans="1:7">
      <c r="G60" s="37"/>
    </row>
    <row r="61" spans="1:7">
      <c r="G61" s="37"/>
    </row>
    <row r="62" spans="1:7">
      <c r="G62" s="37"/>
    </row>
    <row r="63" spans="1:7">
      <c r="G63" s="37"/>
    </row>
    <row r="64" spans="1:7">
      <c r="G64" s="37"/>
    </row>
    <row r="65" spans="7:7">
      <c r="G65" s="37"/>
    </row>
    <row r="66" spans="7:7">
      <c r="G66" s="37"/>
    </row>
    <row r="67" spans="7:7">
      <c r="G67" s="37"/>
    </row>
    <row r="68" spans="7:7">
      <c r="G68" s="37"/>
    </row>
    <row r="69" spans="7:7">
      <c r="G69" s="37"/>
    </row>
    <row r="70" spans="7:7">
      <c r="G70" s="37"/>
    </row>
    <row r="71" spans="7:7">
      <c r="G71" s="37"/>
    </row>
    <row r="72" spans="7:7">
      <c r="G72" s="37"/>
    </row>
  </sheetData>
  <phoneticPr fontId="18" type="noConversion"/>
  <pageMargins left="0.75" right="0.75" top="1" bottom="1" header="0.5" footer="0.5"/>
  <pageSetup scale="99" orientation="portrait"/>
  <headerFooter alignWithMargins="0"/>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A1:G60"/>
  <sheetViews>
    <sheetView zoomScale="150" zoomScaleNormal="150" zoomScalePageLayoutView="150" workbookViewId="0">
      <selection activeCell="J44" sqref="J44"/>
    </sheetView>
  </sheetViews>
  <sheetFormatPr baseColWidth="10" defaultColWidth="8.83203125" defaultRowHeight="12" x14ac:dyDescent="0"/>
  <cols>
    <col min="1" max="1" width="27.1640625" customWidth="1"/>
    <col min="5" max="5" width="10.33203125" bestFit="1" customWidth="1"/>
    <col min="6" max="6" width="10.83203125" bestFit="1" customWidth="1"/>
    <col min="7" max="7" width="13.5" bestFit="1" customWidth="1"/>
  </cols>
  <sheetData>
    <row r="1" spans="1:7" ht="15">
      <c r="A1" s="68" t="s">
        <v>77</v>
      </c>
      <c r="B1" s="7"/>
      <c r="C1" s="7"/>
      <c r="D1" s="7"/>
      <c r="E1" s="8"/>
      <c r="F1" s="7"/>
      <c r="G1" s="7"/>
    </row>
    <row r="2" spans="1:7">
      <c r="A2" s="7" t="s">
        <v>91</v>
      </c>
      <c r="B2" s="7"/>
      <c r="C2" s="7"/>
      <c r="D2" s="7"/>
      <c r="E2" s="8"/>
      <c r="F2" s="7"/>
      <c r="G2" s="7"/>
    </row>
    <row r="3" spans="1:7">
      <c r="A3" s="7"/>
      <c r="B3" s="7"/>
      <c r="C3" s="7"/>
      <c r="D3" s="7"/>
      <c r="E3" s="8"/>
      <c r="F3" s="7"/>
      <c r="G3" s="7"/>
    </row>
    <row r="4" spans="1:7" ht="15.75" customHeight="1">
      <c r="A4" s="9"/>
      <c r="B4" s="9"/>
      <c r="C4" s="9" t="s">
        <v>0</v>
      </c>
      <c r="D4" s="9" t="s">
        <v>1</v>
      </c>
      <c r="E4" s="10" t="s">
        <v>20</v>
      </c>
      <c r="F4" s="9" t="s">
        <v>21</v>
      </c>
      <c r="G4" s="9" t="s">
        <v>22</v>
      </c>
    </row>
    <row r="5" spans="1:7">
      <c r="A5" s="7"/>
      <c r="B5" s="7"/>
      <c r="C5" s="7"/>
      <c r="D5" s="7"/>
      <c r="E5" s="8"/>
      <c r="F5" s="7"/>
      <c r="G5" s="7"/>
    </row>
    <row r="6" spans="1:7" ht="13">
      <c r="A6" s="11" t="s">
        <v>23</v>
      </c>
      <c r="B6" s="7"/>
      <c r="C6" s="7">
        <f>Harvest_Yr4</f>
        <v>100</v>
      </c>
      <c r="D6" s="7" t="s">
        <v>86</v>
      </c>
      <c r="E6" s="8">
        <f>Price</f>
        <v>40</v>
      </c>
      <c r="F6" s="12">
        <f>C6*E6</f>
        <v>4000</v>
      </c>
      <c r="G6" s="13"/>
    </row>
    <row r="7" spans="1:7">
      <c r="A7" s="7"/>
      <c r="B7" s="7"/>
      <c r="C7" s="7"/>
      <c r="D7" s="7"/>
      <c r="E7" s="8"/>
      <c r="F7" s="7"/>
      <c r="G7" s="7"/>
    </row>
    <row r="8" spans="1:7">
      <c r="A8" s="42"/>
      <c r="B8" s="42"/>
      <c r="C8" s="42"/>
      <c r="D8" s="42"/>
      <c r="E8" s="43"/>
      <c r="F8" s="42"/>
      <c r="G8" s="42"/>
    </row>
    <row r="9" spans="1:7" ht="13">
      <c r="A9" s="11" t="s">
        <v>24</v>
      </c>
      <c r="B9" s="7"/>
      <c r="C9" s="7"/>
      <c r="D9" s="7"/>
      <c r="E9" s="8"/>
      <c r="F9" s="7"/>
      <c r="G9" s="7"/>
    </row>
    <row r="10" spans="1:7">
      <c r="A10" s="7" t="s">
        <v>25</v>
      </c>
      <c r="B10" s="7"/>
      <c r="C10" s="7"/>
      <c r="D10" s="7"/>
      <c r="E10" s="8"/>
      <c r="F10" s="7"/>
      <c r="G10" s="7"/>
    </row>
    <row r="11" spans="1:7">
      <c r="A11" s="7" t="s">
        <v>68</v>
      </c>
      <c r="B11" s="7"/>
      <c r="C11" s="7">
        <v>1</v>
      </c>
      <c r="D11" s="7" t="s">
        <v>18</v>
      </c>
      <c r="E11" s="8">
        <v>132</v>
      </c>
      <c r="F11" s="12">
        <f t="shared" ref="F11:F19" si="0">C11*E11</f>
        <v>132</v>
      </c>
      <c r="G11" s="13"/>
    </row>
    <row r="12" spans="1:7">
      <c r="A12" s="7" t="s">
        <v>28</v>
      </c>
      <c r="B12" s="7"/>
      <c r="C12" s="7">
        <v>1</v>
      </c>
      <c r="D12" s="7" t="s">
        <v>18</v>
      </c>
      <c r="E12" s="8">
        <v>124</v>
      </c>
      <c r="F12" s="12">
        <f t="shared" si="0"/>
        <v>124</v>
      </c>
      <c r="G12" s="13"/>
    </row>
    <row r="13" spans="1:7">
      <c r="A13" s="7" t="s">
        <v>45</v>
      </c>
      <c r="B13" s="7"/>
      <c r="C13" s="7">
        <v>1</v>
      </c>
      <c r="D13" s="7" t="s">
        <v>18</v>
      </c>
      <c r="E13" s="8">
        <v>184.11</v>
      </c>
      <c r="F13" s="12">
        <f>C13*E13</f>
        <v>184.11</v>
      </c>
      <c r="G13" s="13"/>
    </row>
    <row r="14" spans="1:7">
      <c r="A14" s="7" t="s">
        <v>53</v>
      </c>
      <c r="B14" s="7"/>
      <c r="C14" s="7">
        <v>1</v>
      </c>
      <c r="D14" s="7" t="s">
        <v>18</v>
      </c>
      <c r="E14" s="8">
        <v>349.22</v>
      </c>
      <c r="F14" s="12">
        <f>C14*E14</f>
        <v>349.22</v>
      </c>
      <c r="G14" s="13"/>
    </row>
    <row r="15" spans="1:7">
      <c r="A15" s="7" t="s">
        <v>49</v>
      </c>
      <c r="B15" s="7"/>
      <c r="C15" s="7">
        <v>5</v>
      </c>
      <c r="D15" s="7" t="s">
        <v>50</v>
      </c>
      <c r="E15" s="8">
        <f>irr_var</f>
        <v>41.33</v>
      </c>
      <c r="F15" s="12">
        <f t="shared" si="0"/>
        <v>206.64999999999998</v>
      </c>
      <c r="G15" s="13"/>
    </row>
    <row r="16" spans="1:7">
      <c r="A16" s="7" t="s">
        <v>56</v>
      </c>
      <c r="B16" s="7"/>
      <c r="C16" s="7">
        <v>1</v>
      </c>
      <c r="D16" s="7" t="s">
        <v>55</v>
      </c>
      <c r="E16" s="8">
        <f>Hive</f>
        <v>100</v>
      </c>
      <c r="F16" s="12">
        <f t="shared" si="0"/>
        <v>100</v>
      </c>
      <c r="G16" s="13"/>
    </row>
    <row r="17" spans="1:7">
      <c r="A17" s="7" t="s">
        <v>30</v>
      </c>
      <c r="B17" s="7"/>
      <c r="C17" s="7">
        <v>1</v>
      </c>
      <c r="D17" s="7" t="s">
        <v>18</v>
      </c>
      <c r="E17" s="8">
        <v>33.590000000000003</v>
      </c>
      <c r="F17" s="12">
        <f t="shared" si="0"/>
        <v>33.590000000000003</v>
      </c>
      <c r="G17" s="13"/>
    </row>
    <row r="18" spans="1:7">
      <c r="A18" s="7" t="s">
        <v>46</v>
      </c>
      <c r="B18" s="7"/>
      <c r="C18" s="7"/>
      <c r="D18" s="7"/>
      <c r="E18" s="8"/>
      <c r="F18" s="12"/>
      <c r="G18" s="13"/>
    </row>
    <row r="19" spans="1:7">
      <c r="A19" s="7" t="s">
        <v>87</v>
      </c>
      <c r="B19" s="7"/>
      <c r="C19" s="7">
        <v>5</v>
      </c>
      <c r="D19" s="7" t="s">
        <v>47</v>
      </c>
      <c r="E19" s="8">
        <f>Hired_Labor</f>
        <v>12.5</v>
      </c>
      <c r="F19" s="12">
        <f t="shared" si="0"/>
        <v>62.5</v>
      </c>
      <c r="G19" s="13"/>
    </row>
    <row r="20" spans="1:7">
      <c r="A20" s="7"/>
      <c r="B20" s="7"/>
      <c r="C20" s="7"/>
      <c r="D20" s="7"/>
      <c r="E20" s="8"/>
      <c r="F20" s="12"/>
      <c r="G20" s="13"/>
    </row>
    <row r="21" spans="1:7">
      <c r="A21" s="14" t="s">
        <v>31</v>
      </c>
      <c r="B21" s="14"/>
      <c r="C21" s="14">
        <v>1</v>
      </c>
      <c r="D21" s="14" t="s">
        <v>18</v>
      </c>
      <c r="E21" s="15">
        <f>SUM(F11:F20)*0.5*rate</f>
        <v>35.762099999999997</v>
      </c>
      <c r="F21" s="15">
        <f>C21*E21</f>
        <v>35.762099999999997</v>
      </c>
      <c r="G21" s="13"/>
    </row>
    <row r="22" spans="1:7">
      <c r="A22" s="7"/>
      <c r="B22" s="7"/>
      <c r="C22" s="7"/>
      <c r="D22" s="7"/>
      <c r="E22" s="8"/>
      <c r="F22" s="7"/>
      <c r="G22" s="24"/>
    </row>
    <row r="23" spans="1:7" ht="15.75" customHeight="1">
      <c r="A23" s="14" t="s">
        <v>32</v>
      </c>
      <c r="B23" s="14"/>
      <c r="C23" s="14"/>
      <c r="D23" s="14"/>
      <c r="E23" s="15"/>
      <c r="F23" s="16">
        <f>SUM(F11:F21)</f>
        <v>1227.8320999999999</v>
      </c>
      <c r="G23" s="13"/>
    </row>
    <row r="24" spans="1:7" ht="16.5" customHeight="1">
      <c r="A24" s="66" t="s">
        <v>65</v>
      </c>
      <c r="B24" s="27"/>
      <c r="C24" s="27"/>
      <c r="D24" s="27"/>
      <c r="E24" s="60"/>
      <c r="F24" s="67">
        <f>F6-F23</f>
        <v>2772.1679000000004</v>
      </c>
      <c r="G24" s="13"/>
    </row>
    <row r="25" spans="1:7">
      <c r="A25" s="7"/>
      <c r="B25" s="7"/>
      <c r="C25" s="7"/>
      <c r="D25" s="7"/>
      <c r="E25" s="8"/>
      <c r="F25" s="7"/>
      <c r="G25" s="7"/>
    </row>
    <row r="26" spans="1:7">
      <c r="A26" s="42"/>
      <c r="B26" s="42"/>
      <c r="C26" s="42"/>
      <c r="D26" s="42"/>
      <c r="E26" s="43"/>
      <c r="F26" s="42"/>
      <c r="G26" s="42"/>
    </row>
    <row r="27" spans="1:7" ht="13">
      <c r="A27" s="11" t="s">
        <v>34</v>
      </c>
      <c r="B27" s="7"/>
      <c r="C27" s="7"/>
      <c r="D27" s="7"/>
      <c r="E27" s="8"/>
      <c r="F27" s="7"/>
      <c r="G27" s="7"/>
    </row>
    <row r="28" spans="1:7">
      <c r="A28" s="7" t="s">
        <v>51</v>
      </c>
      <c r="B28" s="7"/>
      <c r="C28" s="7">
        <v>1</v>
      </c>
      <c r="D28" s="7" t="s">
        <v>18</v>
      </c>
      <c r="E28" s="8">
        <v>42.85</v>
      </c>
      <c r="F28" s="12">
        <f>C28*E28</f>
        <v>42.85</v>
      </c>
      <c r="G28" s="13"/>
    </row>
    <row r="29" spans="1:7">
      <c r="A29" s="7" t="s">
        <v>89</v>
      </c>
      <c r="B29" s="7"/>
      <c r="C29" s="7">
        <v>1</v>
      </c>
      <c r="D29" s="7" t="s">
        <v>18</v>
      </c>
      <c r="E29" s="8">
        <f>irr_fixed</f>
        <v>257.14285714285717</v>
      </c>
      <c r="F29" s="12">
        <f>C29*E29</f>
        <v>257.14285714285717</v>
      </c>
      <c r="G29" s="18"/>
    </row>
    <row r="30" spans="1:7">
      <c r="A30" s="7" t="s">
        <v>67</v>
      </c>
      <c r="B30" s="7"/>
      <c r="C30" s="7">
        <v>1</v>
      </c>
      <c r="D30" s="7" t="s">
        <v>10</v>
      </c>
      <c r="E30" s="8">
        <f>fixed_ref</f>
        <v>550</v>
      </c>
      <c r="F30" s="12">
        <f>C30*E30</f>
        <v>550</v>
      </c>
      <c r="G30" s="18"/>
    </row>
    <row r="31" spans="1:7">
      <c r="A31" s="7"/>
      <c r="B31" s="7"/>
      <c r="C31" s="7"/>
      <c r="D31" s="7"/>
      <c r="E31" s="8"/>
      <c r="F31" s="7"/>
      <c r="G31" s="7"/>
    </row>
    <row r="32" spans="1:7" ht="15.75" customHeight="1">
      <c r="A32" s="46" t="s">
        <v>36</v>
      </c>
      <c r="B32" s="46"/>
      <c r="C32" s="46"/>
      <c r="D32" s="46"/>
      <c r="E32" s="47"/>
      <c r="F32" s="48">
        <f>SUM(F28:F31)</f>
        <v>849.99285714285725</v>
      </c>
      <c r="G32" s="13"/>
    </row>
    <row r="33" spans="1:7">
      <c r="A33" s="7"/>
      <c r="B33" s="7"/>
      <c r="C33" s="7"/>
      <c r="D33" s="7"/>
      <c r="E33" s="8"/>
      <c r="F33" s="7"/>
      <c r="G33" s="7"/>
    </row>
    <row r="34" spans="1:7">
      <c r="A34" s="7"/>
      <c r="B34" s="7"/>
      <c r="C34" s="7"/>
      <c r="D34" s="7"/>
      <c r="E34" s="8"/>
      <c r="F34" s="7"/>
      <c r="G34" s="7"/>
    </row>
    <row r="35" spans="1:7" ht="15.75" customHeight="1">
      <c r="A35" s="49" t="s">
        <v>62</v>
      </c>
      <c r="B35" s="49"/>
      <c r="C35" s="49"/>
      <c r="D35" s="49"/>
      <c r="E35" s="50"/>
      <c r="F35" s="51">
        <f>F32+F23</f>
        <v>2077.8249571428569</v>
      </c>
      <c r="G35" s="13"/>
    </row>
    <row r="36" spans="1:7">
      <c r="A36" s="7"/>
      <c r="B36" s="7"/>
      <c r="C36" s="7"/>
      <c r="D36" s="7"/>
      <c r="E36" s="8"/>
      <c r="F36" s="7"/>
      <c r="G36" s="7"/>
    </row>
    <row r="37" spans="1:7">
      <c r="A37" s="7"/>
      <c r="B37" s="7"/>
      <c r="C37" s="7"/>
      <c r="D37" s="7"/>
      <c r="E37" s="8"/>
      <c r="F37" s="7"/>
      <c r="G37" s="24"/>
    </row>
    <row r="38" spans="1:7">
      <c r="A38" s="24" t="s">
        <v>57</v>
      </c>
      <c r="B38" s="24"/>
      <c r="C38" s="24"/>
      <c r="D38" s="24"/>
      <c r="E38" s="29"/>
      <c r="F38" s="30"/>
      <c r="G38" s="13"/>
    </row>
    <row r="39" spans="1:7">
      <c r="A39" s="24" t="s">
        <v>46</v>
      </c>
      <c r="B39" s="24"/>
      <c r="C39" s="24">
        <v>20</v>
      </c>
      <c r="D39" s="24" t="s">
        <v>47</v>
      </c>
      <c r="E39" s="29">
        <f>Hired_Labor</f>
        <v>12.5</v>
      </c>
      <c r="F39" s="31">
        <f>C39*E39</f>
        <v>250</v>
      </c>
      <c r="G39" s="34"/>
    </row>
    <row r="40" spans="1:7">
      <c r="A40" s="24" t="s">
        <v>66</v>
      </c>
      <c r="B40" s="24"/>
      <c r="C40" s="24">
        <f>C6*8</f>
        <v>800</v>
      </c>
      <c r="D40" s="24" t="s">
        <v>85</v>
      </c>
      <c r="E40" s="29">
        <f>clamshell</f>
        <v>0.05</v>
      </c>
      <c r="F40" s="29">
        <f>C40*E40</f>
        <v>40</v>
      </c>
      <c r="G40" s="34"/>
    </row>
    <row r="41" spans="1:7">
      <c r="A41" s="24" t="s">
        <v>58</v>
      </c>
      <c r="B41" s="24"/>
      <c r="C41" s="32">
        <v>0.1</v>
      </c>
      <c r="D41" s="24" t="s">
        <v>59</v>
      </c>
      <c r="E41" s="29">
        <f>F6</f>
        <v>4000</v>
      </c>
      <c r="F41" s="29">
        <f>C41*E41</f>
        <v>400</v>
      </c>
      <c r="G41" s="13"/>
    </row>
    <row r="42" spans="1:7">
      <c r="A42" s="24" t="s">
        <v>60</v>
      </c>
      <c r="B42" s="24"/>
      <c r="C42" s="24">
        <v>30</v>
      </c>
      <c r="D42" s="24" t="s">
        <v>61</v>
      </c>
      <c r="E42" s="29">
        <f>daily_ref</f>
        <v>1.22</v>
      </c>
      <c r="F42" s="29">
        <f>C42*E42</f>
        <v>36.6</v>
      </c>
      <c r="G42" s="18"/>
    </row>
    <row r="43" spans="1:7">
      <c r="A43" s="14"/>
      <c r="B43" s="14"/>
      <c r="C43" s="14"/>
      <c r="D43" s="14"/>
      <c r="E43" s="15"/>
      <c r="F43" s="15"/>
      <c r="G43" s="7"/>
    </row>
    <row r="44" spans="1:7" ht="15.75" customHeight="1">
      <c r="A44" s="24" t="s">
        <v>63</v>
      </c>
      <c r="B44" s="24"/>
      <c r="C44" s="24"/>
      <c r="D44" s="24"/>
      <c r="E44" s="29"/>
      <c r="F44" s="29">
        <f>SUM(F39:F43)</f>
        <v>726.6</v>
      </c>
      <c r="G44" s="13"/>
    </row>
    <row r="45" spans="1:7" ht="15.75" customHeight="1">
      <c r="A45" s="24"/>
      <c r="B45" s="24"/>
      <c r="C45" s="24"/>
      <c r="D45" s="24"/>
      <c r="E45" s="29"/>
      <c r="F45" s="29"/>
      <c r="G45" s="24"/>
    </row>
    <row r="46" spans="1:7" ht="15.75" customHeight="1">
      <c r="A46" s="24"/>
      <c r="B46" s="24"/>
      <c r="C46" s="24"/>
      <c r="D46" s="24"/>
      <c r="E46" s="29"/>
      <c r="F46" s="29"/>
      <c r="G46" s="13"/>
    </row>
    <row r="47" spans="1:7" ht="15.75" customHeight="1">
      <c r="A47" s="24"/>
      <c r="B47" s="24"/>
      <c r="C47" s="24"/>
      <c r="D47" s="24"/>
      <c r="E47" s="29"/>
      <c r="F47" s="29"/>
      <c r="G47" s="24"/>
    </row>
    <row r="48" spans="1:7" ht="15.75" customHeight="1">
      <c r="A48" s="52" t="s">
        <v>64</v>
      </c>
      <c r="B48" s="52"/>
      <c r="C48" s="52"/>
      <c r="D48" s="52"/>
      <c r="E48" s="54"/>
      <c r="F48" s="54">
        <f>F44+F46</f>
        <v>726.6</v>
      </c>
      <c r="G48" s="13"/>
    </row>
    <row r="49" spans="1:7" ht="15.75" customHeight="1">
      <c r="A49" s="52" t="s">
        <v>37</v>
      </c>
      <c r="B49" s="52"/>
      <c r="C49" s="52"/>
      <c r="D49" s="52"/>
      <c r="E49" s="54"/>
      <c r="F49" s="54">
        <f>F35+F48</f>
        <v>2804.4249571428568</v>
      </c>
      <c r="G49" s="13"/>
    </row>
    <row r="50" spans="1:7" ht="15.75" customHeight="1">
      <c r="A50" s="24"/>
      <c r="B50" s="24"/>
      <c r="C50" s="24"/>
      <c r="D50" s="24"/>
      <c r="E50" s="29"/>
      <c r="F50" s="29"/>
      <c r="G50" s="24"/>
    </row>
    <row r="51" spans="1:7">
      <c r="A51" s="7" t="s">
        <v>39</v>
      </c>
      <c r="B51" s="7"/>
      <c r="C51" s="20">
        <v>64.75</v>
      </c>
      <c r="D51" s="7" t="s">
        <v>40</v>
      </c>
      <c r="E51" s="8">
        <f>Op_Labor</f>
        <v>15</v>
      </c>
      <c r="F51" s="8">
        <f>C51*E51</f>
        <v>971.25</v>
      </c>
      <c r="G51" s="13"/>
    </row>
    <row r="52" spans="1:7">
      <c r="A52" s="7" t="s">
        <v>83</v>
      </c>
      <c r="B52" s="7"/>
      <c r="C52" s="20"/>
      <c r="D52" s="7"/>
      <c r="E52" s="8"/>
      <c r="F52" s="12"/>
    </row>
    <row r="53" spans="1:7">
      <c r="A53" s="7"/>
      <c r="B53" s="7"/>
      <c r="C53" s="7"/>
      <c r="D53" s="7"/>
      <c r="E53" s="8"/>
      <c r="F53" s="7"/>
    </row>
    <row r="54" spans="1:7">
      <c r="A54" s="7"/>
      <c r="B54" s="7"/>
      <c r="C54" s="7"/>
      <c r="D54" s="7"/>
      <c r="E54" s="8"/>
      <c r="F54" s="7"/>
    </row>
    <row r="55" spans="1:7">
      <c r="A55" s="7"/>
      <c r="B55" s="7"/>
      <c r="C55" s="7"/>
      <c r="D55" s="7"/>
      <c r="E55" s="8"/>
      <c r="F55" s="7"/>
    </row>
    <row r="56" spans="1:7" ht="13" thickBot="1">
      <c r="A56" s="61" t="s">
        <v>42</v>
      </c>
      <c r="B56" s="62"/>
      <c r="C56" s="62"/>
      <c r="D56" s="62"/>
      <c r="E56" s="63"/>
      <c r="F56" s="64">
        <f>F6-F35-F48</f>
        <v>1195.5750428571432</v>
      </c>
      <c r="G56" s="70"/>
    </row>
    <row r="57" spans="1:7">
      <c r="A57" s="7"/>
      <c r="B57" s="7"/>
      <c r="C57" s="7"/>
      <c r="D57" s="7"/>
      <c r="E57" s="8"/>
      <c r="F57" s="7"/>
    </row>
    <row r="58" spans="1:7">
      <c r="E58" s="22"/>
    </row>
    <row r="59" spans="1:7">
      <c r="E59" s="22"/>
    </row>
    <row r="60" spans="1:7">
      <c r="A60" t="s">
        <v>43</v>
      </c>
      <c r="E60" s="22"/>
    </row>
  </sheetData>
  <phoneticPr fontId="0" type="noConversion"/>
  <pageMargins left="0.75" right="0.75" top="1" bottom="1" header="0.5" footer="0.5"/>
  <pageSetup scale="83" orientation="portrait"/>
  <headerFooter alignWithMargins="0"/>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A1:G60"/>
  <sheetViews>
    <sheetView zoomScale="150" zoomScaleNormal="150" zoomScalePageLayoutView="150" workbookViewId="0">
      <selection activeCell="I46" sqref="I46"/>
    </sheetView>
  </sheetViews>
  <sheetFormatPr baseColWidth="10" defaultColWidth="8.83203125" defaultRowHeight="12" x14ac:dyDescent="0"/>
  <cols>
    <col min="1" max="1" width="27.1640625" customWidth="1"/>
    <col min="5" max="5" width="10.33203125" bestFit="1" customWidth="1"/>
    <col min="6" max="6" width="10.83203125" bestFit="1" customWidth="1"/>
    <col min="7" max="7" width="13.5" bestFit="1" customWidth="1"/>
  </cols>
  <sheetData>
    <row r="1" spans="1:7" ht="15">
      <c r="A1" s="68" t="s">
        <v>77</v>
      </c>
      <c r="B1" s="7"/>
      <c r="C1" s="7"/>
      <c r="D1" s="7"/>
      <c r="E1" s="8"/>
      <c r="F1" s="7"/>
      <c r="G1" s="7"/>
    </row>
    <row r="2" spans="1:7">
      <c r="A2" s="7" t="s">
        <v>92</v>
      </c>
      <c r="B2" s="7"/>
      <c r="C2" s="7"/>
      <c r="D2" s="7"/>
      <c r="E2" s="8"/>
      <c r="F2" s="7"/>
      <c r="G2" s="7"/>
    </row>
    <row r="3" spans="1:7">
      <c r="A3" s="7"/>
      <c r="B3" s="7"/>
      <c r="C3" s="7"/>
      <c r="D3" s="7"/>
      <c r="E3" s="8"/>
      <c r="F3" s="7"/>
      <c r="G3" s="7"/>
    </row>
    <row r="4" spans="1:7" ht="15.75" customHeight="1">
      <c r="A4" s="9"/>
      <c r="B4" s="9"/>
      <c r="C4" s="9" t="s">
        <v>0</v>
      </c>
      <c r="D4" s="9" t="s">
        <v>1</v>
      </c>
      <c r="E4" s="10" t="s">
        <v>20</v>
      </c>
      <c r="F4" s="9" t="s">
        <v>21</v>
      </c>
      <c r="G4" s="9" t="s">
        <v>22</v>
      </c>
    </row>
    <row r="5" spans="1:7">
      <c r="A5" s="7"/>
      <c r="B5" s="7"/>
      <c r="C5" s="7"/>
      <c r="D5" s="7"/>
      <c r="E5" s="8"/>
      <c r="F5" s="7"/>
      <c r="G5" s="7"/>
    </row>
    <row r="6" spans="1:7" ht="13">
      <c r="A6" s="11" t="s">
        <v>23</v>
      </c>
      <c r="B6" s="7"/>
      <c r="C6" s="7">
        <f>Harvest_Yr5</f>
        <v>200</v>
      </c>
      <c r="D6" s="7" t="s">
        <v>86</v>
      </c>
      <c r="E6" s="8">
        <f>Price</f>
        <v>40</v>
      </c>
      <c r="F6" s="12">
        <f>C6*E6</f>
        <v>8000</v>
      </c>
      <c r="G6" s="13"/>
    </row>
    <row r="7" spans="1:7">
      <c r="A7" s="7"/>
      <c r="B7" s="7"/>
      <c r="C7" s="7"/>
      <c r="D7" s="7"/>
      <c r="E7" s="8"/>
      <c r="F7" s="7"/>
      <c r="G7" s="7"/>
    </row>
    <row r="8" spans="1:7">
      <c r="A8" s="42"/>
      <c r="B8" s="42"/>
      <c r="C8" s="42"/>
      <c r="D8" s="42"/>
      <c r="E8" s="43"/>
      <c r="F8" s="42"/>
      <c r="G8" s="42"/>
    </row>
    <row r="9" spans="1:7" ht="13">
      <c r="A9" s="11" t="s">
        <v>24</v>
      </c>
      <c r="B9" s="7"/>
      <c r="C9" s="7"/>
      <c r="D9" s="7"/>
      <c r="E9" s="8"/>
      <c r="F9" s="7"/>
      <c r="G9" s="7"/>
    </row>
    <row r="10" spans="1:7">
      <c r="A10" s="7" t="s">
        <v>25</v>
      </c>
      <c r="B10" s="7"/>
      <c r="C10" s="7"/>
      <c r="D10" s="7"/>
      <c r="E10" s="8"/>
      <c r="F10" s="7"/>
      <c r="G10" s="7"/>
    </row>
    <row r="11" spans="1:7">
      <c r="A11" s="7" t="s">
        <v>68</v>
      </c>
      <c r="B11" s="7"/>
      <c r="C11">
        <v>1</v>
      </c>
      <c r="D11" s="7" t="s">
        <v>18</v>
      </c>
      <c r="E11" s="12">
        <v>176</v>
      </c>
      <c r="F11" s="12">
        <f t="shared" ref="F11:F19" si="0">C11*E11</f>
        <v>176</v>
      </c>
      <c r="G11" s="13"/>
    </row>
    <row r="12" spans="1:7">
      <c r="A12" s="7" t="s">
        <v>53</v>
      </c>
      <c r="B12" s="7"/>
      <c r="C12" s="7">
        <v>1</v>
      </c>
      <c r="D12" s="7" t="s">
        <v>18</v>
      </c>
      <c r="E12" s="8">
        <v>349.22</v>
      </c>
      <c r="F12" s="12">
        <f t="shared" si="0"/>
        <v>349.22</v>
      </c>
      <c r="G12" s="13"/>
    </row>
    <row r="13" spans="1:7">
      <c r="A13" s="7" t="s">
        <v>45</v>
      </c>
      <c r="B13" s="7"/>
      <c r="C13" s="7">
        <v>1</v>
      </c>
      <c r="D13" s="7" t="s">
        <v>18</v>
      </c>
      <c r="E13" s="8">
        <v>184.11</v>
      </c>
      <c r="F13" s="12">
        <f>C13*E13</f>
        <v>184.11</v>
      </c>
      <c r="G13" s="13"/>
    </row>
    <row r="14" spans="1:7">
      <c r="A14" s="7" t="s">
        <v>28</v>
      </c>
      <c r="B14" s="7"/>
      <c r="C14" s="7">
        <v>1</v>
      </c>
      <c r="D14" s="7" t="s">
        <v>18</v>
      </c>
      <c r="E14" s="8">
        <v>124</v>
      </c>
      <c r="F14" s="12">
        <f t="shared" si="0"/>
        <v>124</v>
      </c>
      <c r="G14" s="13"/>
    </row>
    <row r="15" spans="1:7">
      <c r="A15" s="7" t="s">
        <v>49</v>
      </c>
      <c r="B15" s="7"/>
      <c r="C15" s="7">
        <v>5</v>
      </c>
      <c r="D15" s="7" t="s">
        <v>50</v>
      </c>
      <c r="E15" s="8">
        <f>irr_var</f>
        <v>41.33</v>
      </c>
      <c r="F15" s="12">
        <f t="shared" si="0"/>
        <v>206.64999999999998</v>
      </c>
      <c r="G15" s="13"/>
    </row>
    <row r="16" spans="1:7">
      <c r="A16" s="7" t="s">
        <v>56</v>
      </c>
      <c r="B16" s="7"/>
      <c r="C16" s="7">
        <v>1</v>
      </c>
      <c r="D16" s="7" t="s">
        <v>55</v>
      </c>
      <c r="E16" s="8">
        <f>Hive</f>
        <v>100</v>
      </c>
      <c r="F16" s="12">
        <f t="shared" si="0"/>
        <v>100</v>
      </c>
      <c r="G16" s="13"/>
    </row>
    <row r="17" spans="1:7">
      <c r="A17" s="7" t="s">
        <v>30</v>
      </c>
      <c r="B17" s="7"/>
      <c r="C17" s="7">
        <v>1</v>
      </c>
      <c r="D17" s="7" t="s">
        <v>18</v>
      </c>
      <c r="E17" s="8">
        <v>33.590000000000003</v>
      </c>
      <c r="F17" s="12">
        <f t="shared" si="0"/>
        <v>33.590000000000003</v>
      </c>
      <c r="G17" s="13"/>
    </row>
    <row r="18" spans="1:7">
      <c r="A18" s="7" t="s">
        <v>46</v>
      </c>
      <c r="B18" s="7"/>
      <c r="C18" s="7"/>
      <c r="D18" s="7"/>
      <c r="E18" s="8"/>
      <c r="F18" s="12"/>
      <c r="G18" s="13"/>
    </row>
    <row r="19" spans="1:7">
      <c r="A19" s="7" t="s">
        <v>87</v>
      </c>
      <c r="B19" s="7"/>
      <c r="C19" s="7">
        <v>5</v>
      </c>
      <c r="D19" s="7" t="s">
        <v>47</v>
      </c>
      <c r="E19" s="8">
        <f>Hired_Labor</f>
        <v>12.5</v>
      </c>
      <c r="F19" s="12">
        <f t="shared" si="0"/>
        <v>62.5</v>
      </c>
      <c r="G19" s="13"/>
    </row>
    <row r="20" spans="1:7">
      <c r="A20" s="7"/>
      <c r="B20" s="7"/>
      <c r="C20" s="7"/>
      <c r="D20" s="7"/>
      <c r="E20" s="8"/>
      <c r="F20" s="12"/>
      <c r="G20" s="13"/>
    </row>
    <row r="21" spans="1:7">
      <c r="A21" s="14" t="s">
        <v>31</v>
      </c>
      <c r="B21" s="14"/>
      <c r="C21" s="14">
        <v>1</v>
      </c>
      <c r="D21" s="14" t="s">
        <v>18</v>
      </c>
      <c r="E21" s="15">
        <f>SUM(F11:F20)*0.5*rate</f>
        <v>37.082099999999997</v>
      </c>
      <c r="F21" s="15">
        <f>C21*E21</f>
        <v>37.082099999999997</v>
      </c>
      <c r="G21" s="13"/>
    </row>
    <row r="22" spans="1:7">
      <c r="A22" s="7"/>
      <c r="B22" s="7"/>
      <c r="C22" s="7"/>
      <c r="D22" s="7"/>
      <c r="E22" s="8"/>
      <c r="F22" s="7"/>
      <c r="G22" s="24"/>
    </row>
    <row r="23" spans="1:7" ht="15.75" customHeight="1">
      <c r="A23" s="14" t="s">
        <v>32</v>
      </c>
      <c r="B23" s="14"/>
      <c r="C23" s="14"/>
      <c r="D23" s="14"/>
      <c r="E23" s="15"/>
      <c r="F23" s="16">
        <f>SUM(F11:F21)</f>
        <v>1273.1521</v>
      </c>
      <c r="G23" s="13"/>
    </row>
    <row r="24" spans="1:7" ht="16.5" customHeight="1">
      <c r="A24" s="11" t="s">
        <v>65</v>
      </c>
      <c r="B24" s="7"/>
      <c r="C24" s="7"/>
      <c r="D24" s="7"/>
      <c r="E24" s="8"/>
      <c r="F24" s="17">
        <f>F6-F23</f>
        <v>6726.8478999999998</v>
      </c>
      <c r="G24" s="13"/>
    </row>
    <row r="25" spans="1:7">
      <c r="A25" s="7"/>
      <c r="B25" s="7"/>
      <c r="C25" s="7"/>
      <c r="D25" s="7"/>
      <c r="E25" s="8"/>
      <c r="F25" s="7"/>
      <c r="G25" s="7"/>
    </row>
    <row r="26" spans="1:7">
      <c r="A26" s="42"/>
      <c r="B26" s="42"/>
      <c r="C26" s="42"/>
      <c r="D26" s="42"/>
      <c r="E26" s="43"/>
      <c r="F26" s="42"/>
      <c r="G26" s="42"/>
    </row>
    <row r="27" spans="1:7" ht="13">
      <c r="A27" s="11" t="s">
        <v>34</v>
      </c>
      <c r="B27" s="7"/>
      <c r="C27" s="7"/>
      <c r="D27" s="7"/>
      <c r="E27" s="8"/>
      <c r="F27" s="7"/>
      <c r="G27" s="7"/>
    </row>
    <row r="28" spans="1:7">
      <c r="A28" s="7" t="s">
        <v>51</v>
      </c>
      <c r="B28" s="7"/>
      <c r="C28" s="7">
        <v>1</v>
      </c>
      <c r="D28" s="7" t="s">
        <v>18</v>
      </c>
      <c r="E28" s="8">
        <v>42.85</v>
      </c>
      <c r="F28" s="12">
        <f>C28*E28</f>
        <v>42.85</v>
      </c>
      <c r="G28" s="13"/>
    </row>
    <row r="29" spans="1:7">
      <c r="A29" s="7" t="s">
        <v>89</v>
      </c>
      <c r="B29" s="7"/>
      <c r="C29" s="7">
        <v>1</v>
      </c>
      <c r="D29" s="7" t="s">
        <v>18</v>
      </c>
      <c r="E29" s="8">
        <f>irr_fixed</f>
        <v>257.14285714285717</v>
      </c>
      <c r="F29" s="12">
        <f>C29*E29</f>
        <v>257.14285714285717</v>
      </c>
      <c r="G29" s="18"/>
    </row>
    <row r="30" spans="1:7">
      <c r="A30" s="7" t="s">
        <v>67</v>
      </c>
      <c r="B30" s="7"/>
      <c r="C30" s="7">
        <v>1</v>
      </c>
      <c r="D30" s="7" t="s">
        <v>10</v>
      </c>
      <c r="E30" s="8">
        <f>fixed_ref</f>
        <v>550</v>
      </c>
      <c r="F30" s="12">
        <f>C30*E30</f>
        <v>550</v>
      </c>
      <c r="G30" s="18"/>
    </row>
    <row r="31" spans="1:7">
      <c r="A31" s="7"/>
      <c r="B31" s="7"/>
      <c r="C31" s="7"/>
      <c r="D31" s="7"/>
      <c r="E31" s="8"/>
      <c r="F31" s="7"/>
      <c r="G31" s="7"/>
    </row>
    <row r="32" spans="1:7" ht="15.75" customHeight="1">
      <c r="A32" s="46" t="s">
        <v>106</v>
      </c>
      <c r="B32" s="46"/>
      <c r="C32" s="46"/>
      <c r="D32" s="46"/>
      <c r="E32" s="47"/>
      <c r="F32" s="48">
        <f>SUM(F28:F31)</f>
        <v>849.99285714285725</v>
      </c>
      <c r="G32" s="13"/>
    </row>
    <row r="33" spans="1:7">
      <c r="A33" s="7"/>
      <c r="B33" s="7"/>
      <c r="C33" s="7"/>
      <c r="D33" s="7"/>
      <c r="E33" s="8"/>
      <c r="F33" s="7"/>
      <c r="G33" s="7"/>
    </row>
    <row r="34" spans="1:7">
      <c r="A34" s="7"/>
      <c r="B34" s="7"/>
      <c r="C34" s="7"/>
      <c r="D34" s="7"/>
      <c r="E34" s="8"/>
      <c r="F34" s="7"/>
      <c r="G34" s="7"/>
    </row>
    <row r="35" spans="1:7" ht="15.75" customHeight="1">
      <c r="A35" s="49" t="s">
        <v>62</v>
      </c>
      <c r="B35" s="49"/>
      <c r="C35" s="49"/>
      <c r="D35" s="49"/>
      <c r="E35" s="50"/>
      <c r="F35" s="51">
        <f>F32+F23</f>
        <v>2123.1449571428575</v>
      </c>
      <c r="G35" s="13"/>
    </row>
    <row r="36" spans="1:7">
      <c r="A36" s="7"/>
      <c r="B36" s="7"/>
      <c r="C36" s="7"/>
      <c r="D36" s="7"/>
      <c r="E36" s="8"/>
      <c r="F36" s="7"/>
      <c r="G36" s="7"/>
    </row>
    <row r="37" spans="1:7">
      <c r="A37" s="7"/>
      <c r="B37" s="7"/>
      <c r="C37" s="7"/>
      <c r="D37" s="7"/>
      <c r="E37" s="8"/>
      <c r="F37" s="7"/>
      <c r="G37" s="24"/>
    </row>
    <row r="38" spans="1:7">
      <c r="A38" s="24" t="s">
        <v>57</v>
      </c>
      <c r="B38" s="24"/>
      <c r="C38" s="24"/>
      <c r="D38" s="24"/>
      <c r="E38" s="29"/>
      <c r="F38" s="30"/>
      <c r="G38" s="13"/>
    </row>
    <row r="39" spans="1:7">
      <c r="A39" s="24" t="s">
        <v>46</v>
      </c>
      <c r="B39" s="24"/>
      <c r="C39" s="24">
        <v>40</v>
      </c>
      <c r="D39" s="24" t="s">
        <v>47</v>
      </c>
      <c r="E39" s="29">
        <f>Hired_Labor</f>
        <v>12.5</v>
      </c>
      <c r="F39" s="31">
        <f>C39*E39</f>
        <v>500</v>
      </c>
      <c r="G39" s="34"/>
    </row>
    <row r="40" spans="1:7">
      <c r="A40" s="24" t="s">
        <v>66</v>
      </c>
      <c r="B40" s="24"/>
      <c r="C40" s="24">
        <f>C6*8</f>
        <v>1600</v>
      </c>
      <c r="D40" s="24" t="s">
        <v>85</v>
      </c>
      <c r="E40" s="29">
        <f>clamshell</f>
        <v>0.05</v>
      </c>
      <c r="F40" s="29">
        <f>C40*E40</f>
        <v>80</v>
      </c>
      <c r="G40" s="34"/>
    </row>
    <row r="41" spans="1:7">
      <c r="A41" s="24" t="s">
        <v>58</v>
      </c>
      <c r="B41" s="24"/>
      <c r="C41" s="32">
        <f>Marketing</f>
        <v>0.1</v>
      </c>
      <c r="D41" s="24" t="s">
        <v>59</v>
      </c>
      <c r="E41" s="29">
        <f>F6</f>
        <v>8000</v>
      </c>
      <c r="F41" s="29">
        <f>C41*E41</f>
        <v>800</v>
      </c>
      <c r="G41" s="13"/>
    </row>
    <row r="42" spans="1:7">
      <c r="A42" s="24" t="s">
        <v>60</v>
      </c>
      <c r="B42" s="24"/>
      <c r="C42" s="24">
        <v>30</v>
      </c>
      <c r="D42" s="24" t="s">
        <v>61</v>
      </c>
      <c r="E42" s="29">
        <f>daily_ref</f>
        <v>1.22</v>
      </c>
      <c r="F42" s="29">
        <f>C42*E42</f>
        <v>36.6</v>
      </c>
      <c r="G42" s="18"/>
    </row>
    <row r="43" spans="1:7">
      <c r="A43" s="14"/>
      <c r="B43" s="14"/>
      <c r="C43" s="14"/>
      <c r="D43" s="14"/>
      <c r="E43" s="15"/>
      <c r="F43" s="15"/>
      <c r="G43" s="7"/>
    </row>
    <row r="44" spans="1:7" ht="15.75" customHeight="1">
      <c r="A44" s="24" t="s">
        <v>63</v>
      </c>
      <c r="B44" s="24"/>
      <c r="C44" s="24"/>
      <c r="D44" s="24"/>
      <c r="E44" s="29"/>
      <c r="F44" s="29">
        <f>SUM(F39:F43)</f>
        <v>1416.6</v>
      </c>
      <c r="G44" s="13"/>
    </row>
    <row r="45" spans="1:7" ht="15.75" customHeight="1">
      <c r="A45" s="24"/>
      <c r="B45" s="24"/>
      <c r="C45" s="24"/>
      <c r="D45" s="24"/>
      <c r="E45" s="29"/>
      <c r="F45" s="29"/>
      <c r="G45" s="24"/>
    </row>
    <row r="46" spans="1:7" ht="15.75" customHeight="1">
      <c r="A46" s="24"/>
      <c r="B46" s="24"/>
      <c r="C46" s="24"/>
      <c r="D46" s="24"/>
      <c r="E46" s="29"/>
      <c r="F46" s="29"/>
      <c r="G46" s="13"/>
    </row>
    <row r="47" spans="1:7" ht="15.75" customHeight="1">
      <c r="A47" s="24"/>
      <c r="B47" s="24"/>
      <c r="C47" s="24"/>
      <c r="D47" s="24"/>
      <c r="E47" s="29"/>
      <c r="F47" s="29"/>
      <c r="G47" s="24"/>
    </row>
    <row r="48" spans="1:7" ht="15.75" customHeight="1">
      <c r="A48" s="52" t="s">
        <v>64</v>
      </c>
      <c r="B48" s="52"/>
      <c r="C48" s="52"/>
      <c r="D48" s="52"/>
      <c r="E48" s="54"/>
      <c r="F48" s="54">
        <f>F44+F46</f>
        <v>1416.6</v>
      </c>
      <c r="G48" s="13"/>
    </row>
    <row r="49" spans="1:7" ht="15.75" customHeight="1">
      <c r="A49" s="52" t="s">
        <v>37</v>
      </c>
      <c r="B49" s="52"/>
      <c r="C49" s="52"/>
      <c r="D49" s="52"/>
      <c r="E49" s="54"/>
      <c r="F49" s="54">
        <f>F35+F48</f>
        <v>3539.7449571428574</v>
      </c>
      <c r="G49" s="72"/>
    </row>
    <row r="50" spans="1:7" ht="15.75" customHeight="1">
      <c r="A50" s="24"/>
      <c r="B50" s="24"/>
      <c r="C50" s="24"/>
      <c r="D50" s="24"/>
      <c r="E50" s="29"/>
      <c r="F50" s="29"/>
      <c r="G50" s="24"/>
    </row>
    <row r="51" spans="1:7">
      <c r="A51" s="7" t="s">
        <v>39</v>
      </c>
      <c r="B51" s="7"/>
      <c r="C51" s="20">
        <v>76.75</v>
      </c>
      <c r="D51" s="7" t="s">
        <v>40</v>
      </c>
      <c r="E51" s="8">
        <f>Op_Labor</f>
        <v>15</v>
      </c>
      <c r="F51" s="8">
        <f>C51*E51</f>
        <v>1151.25</v>
      </c>
      <c r="G51" s="13"/>
    </row>
    <row r="52" spans="1:7">
      <c r="A52" s="7" t="s">
        <v>84</v>
      </c>
      <c r="B52" s="7"/>
      <c r="C52" s="20"/>
      <c r="D52" s="7"/>
      <c r="E52" s="8"/>
      <c r="F52" s="12"/>
    </row>
    <row r="53" spans="1:7">
      <c r="A53" s="7"/>
      <c r="B53" s="7"/>
      <c r="C53" s="7"/>
      <c r="D53" s="7"/>
      <c r="E53" s="8"/>
      <c r="F53" s="7"/>
    </row>
    <row r="54" spans="1:7">
      <c r="A54" s="7"/>
      <c r="B54" s="7"/>
      <c r="C54" s="7"/>
      <c r="D54" s="7"/>
      <c r="E54" s="8"/>
      <c r="F54" s="7"/>
    </row>
    <row r="55" spans="1:7">
      <c r="A55" s="7"/>
      <c r="B55" s="7"/>
      <c r="C55" s="7"/>
      <c r="D55" s="7"/>
      <c r="E55" s="8"/>
      <c r="F55" s="7"/>
    </row>
    <row r="56" spans="1:7" ht="13" thickBot="1">
      <c r="A56" s="61" t="s">
        <v>42</v>
      </c>
      <c r="B56" s="62"/>
      <c r="C56" s="62"/>
      <c r="D56" s="62"/>
      <c r="E56" s="63"/>
      <c r="F56" s="69">
        <f>F6-F35-F48-F51</f>
        <v>3309.0050428571431</v>
      </c>
      <c r="G56" s="36"/>
    </row>
    <row r="57" spans="1:7">
      <c r="A57" s="7"/>
      <c r="B57" s="7"/>
      <c r="C57" s="7"/>
      <c r="D57" s="7"/>
      <c r="E57" s="8"/>
      <c r="F57" s="7"/>
    </row>
    <row r="58" spans="1:7">
      <c r="E58" s="22"/>
    </row>
    <row r="59" spans="1:7">
      <c r="E59" s="22"/>
    </row>
    <row r="60" spans="1:7">
      <c r="A60" t="s">
        <v>43</v>
      </c>
      <c r="E60" s="22"/>
    </row>
  </sheetData>
  <phoneticPr fontId="0" type="noConversion"/>
  <pageMargins left="0.75" right="0.75" top="1" bottom="1" header="0.5" footer="0.5"/>
  <pageSetup scale="83" orientation="portrait"/>
  <headerFooter alignWithMargins="0"/>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A1:H60"/>
  <sheetViews>
    <sheetView zoomScale="150" zoomScaleNormal="150" zoomScalePageLayoutView="150" workbookViewId="0">
      <selection activeCell="B23" sqref="B23"/>
    </sheetView>
  </sheetViews>
  <sheetFormatPr baseColWidth="10" defaultColWidth="8.83203125" defaultRowHeight="12" x14ac:dyDescent="0"/>
  <cols>
    <col min="1" max="1" width="27.1640625" customWidth="1"/>
    <col min="5" max="6" width="11.33203125" bestFit="1" customWidth="1"/>
    <col min="7" max="7" width="13.5" bestFit="1" customWidth="1"/>
  </cols>
  <sheetData>
    <row r="1" spans="1:7" ht="15">
      <c r="A1" s="68" t="s">
        <v>77</v>
      </c>
      <c r="B1" s="7"/>
      <c r="C1" s="7"/>
      <c r="D1" s="7"/>
      <c r="E1" s="8"/>
      <c r="F1" s="7"/>
      <c r="G1" s="7"/>
    </row>
    <row r="2" spans="1:7">
      <c r="A2" s="7" t="s">
        <v>93</v>
      </c>
      <c r="B2" s="7"/>
      <c r="C2" s="7"/>
      <c r="D2" s="7"/>
      <c r="E2" s="8"/>
      <c r="F2" s="7"/>
      <c r="G2" s="7"/>
    </row>
    <row r="3" spans="1:7">
      <c r="A3" s="7"/>
      <c r="B3" s="7"/>
      <c r="C3" s="7"/>
      <c r="D3" s="7"/>
      <c r="E3" s="8"/>
      <c r="F3" s="7"/>
      <c r="G3" s="7"/>
    </row>
    <row r="4" spans="1:7" ht="15.75" customHeight="1">
      <c r="A4" s="9"/>
      <c r="B4" s="9"/>
      <c r="C4" s="9" t="s">
        <v>0</v>
      </c>
      <c r="D4" s="9" t="s">
        <v>1</v>
      </c>
      <c r="E4" s="10" t="s">
        <v>20</v>
      </c>
      <c r="F4" s="9" t="s">
        <v>21</v>
      </c>
      <c r="G4" s="9" t="s">
        <v>22</v>
      </c>
    </row>
    <row r="5" spans="1:7">
      <c r="A5" s="7"/>
      <c r="B5" s="7"/>
      <c r="C5" s="7"/>
      <c r="D5" s="7"/>
      <c r="E5" s="8"/>
      <c r="F5" s="7"/>
      <c r="G5" s="7"/>
    </row>
    <row r="6" spans="1:7" ht="13">
      <c r="A6" s="11" t="s">
        <v>23</v>
      </c>
      <c r="B6" s="7"/>
      <c r="C6" s="7">
        <f>Harvest_Yr6</f>
        <v>300</v>
      </c>
      <c r="D6" s="7" t="s">
        <v>86</v>
      </c>
      <c r="E6" s="8">
        <f>Price</f>
        <v>40</v>
      </c>
      <c r="F6" s="12">
        <f>C6*E6</f>
        <v>12000</v>
      </c>
      <c r="G6" s="13"/>
    </row>
    <row r="8" spans="1:7">
      <c r="A8" s="42"/>
      <c r="B8" s="42"/>
      <c r="C8" s="42"/>
      <c r="D8" s="42"/>
      <c r="E8" s="43"/>
      <c r="F8" s="42"/>
      <c r="G8" s="42"/>
    </row>
    <row r="9" spans="1:7" ht="13">
      <c r="A9" s="11" t="s">
        <v>24</v>
      </c>
      <c r="B9" s="7"/>
      <c r="C9" s="7"/>
      <c r="D9" s="7"/>
      <c r="E9" s="8"/>
      <c r="F9" s="7"/>
      <c r="G9" s="7"/>
    </row>
    <row r="10" spans="1:7">
      <c r="A10" s="7" t="s">
        <v>25</v>
      </c>
      <c r="B10" s="7"/>
      <c r="C10" s="7"/>
      <c r="D10" s="7"/>
      <c r="E10" s="8"/>
      <c r="F10" s="7"/>
      <c r="G10" s="7"/>
    </row>
    <row r="11" spans="1:7">
      <c r="A11" s="7" t="s">
        <v>69</v>
      </c>
      <c r="B11" s="7"/>
      <c r="C11" s="7">
        <v>1</v>
      </c>
      <c r="D11" s="7" t="s">
        <v>18</v>
      </c>
      <c r="E11" s="8">
        <v>220</v>
      </c>
      <c r="F11" s="12">
        <f>C11*E11</f>
        <v>220</v>
      </c>
      <c r="G11" s="13"/>
    </row>
    <row r="12" spans="1:7">
      <c r="A12" s="7" t="s">
        <v>28</v>
      </c>
      <c r="B12" s="7"/>
      <c r="C12" s="7">
        <v>1</v>
      </c>
      <c r="D12" s="7" t="s">
        <v>18</v>
      </c>
      <c r="E12" s="8">
        <v>124</v>
      </c>
      <c r="F12" s="12">
        <f t="shared" ref="F12:F19" si="0">C12*E12</f>
        <v>124</v>
      </c>
      <c r="G12" s="13"/>
    </row>
    <row r="13" spans="1:7">
      <c r="A13" s="7" t="s">
        <v>45</v>
      </c>
      <c r="B13" s="7"/>
      <c r="C13" s="7">
        <v>1</v>
      </c>
      <c r="D13" s="7" t="s">
        <v>18</v>
      </c>
      <c r="E13" s="8">
        <v>184.11</v>
      </c>
      <c r="F13" s="12">
        <f t="shared" si="0"/>
        <v>184.11</v>
      </c>
      <c r="G13" s="13"/>
    </row>
    <row r="14" spans="1:7">
      <c r="A14" s="7" t="s">
        <v>53</v>
      </c>
      <c r="B14" s="7"/>
      <c r="C14" s="7">
        <v>1</v>
      </c>
      <c r="D14" s="7" t="s">
        <v>18</v>
      </c>
      <c r="E14" s="8">
        <v>349.22</v>
      </c>
      <c r="F14" s="12">
        <f>C14*E14</f>
        <v>349.22</v>
      </c>
      <c r="G14" s="13"/>
    </row>
    <row r="15" spans="1:7">
      <c r="A15" s="7" t="s">
        <v>49</v>
      </c>
      <c r="B15" s="7"/>
      <c r="C15" s="7">
        <v>5</v>
      </c>
      <c r="D15" s="7" t="s">
        <v>50</v>
      </c>
      <c r="E15" s="8">
        <f>irr_var</f>
        <v>41.33</v>
      </c>
      <c r="F15" s="12">
        <f t="shared" si="0"/>
        <v>206.64999999999998</v>
      </c>
      <c r="G15" s="13"/>
    </row>
    <row r="16" spans="1:7">
      <c r="A16" s="7" t="s">
        <v>56</v>
      </c>
      <c r="B16" s="7"/>
      <c r="C16" s="7">
        <v>1</v>
      </c>
      <c r="D16" s="7" t="s">
        <v>55</v>
      </c>
      <c r="E16" s="8">
        <f>Hive</f>
        <v>100</v>
      </c>
      <c r="F16" s="12">
        <f t="shared" si="0"/>
        <v>100</v>
      </c>
      <c r="G16" s="13"/>
    </row>
    <row r="17" spans="1:7">
      <c r="A17" s="7" t="s">
        <v>30</v>
      </c>
      <c r="B17" s="7"/>
      <c r="C17" s="7">
        <v>1</v>
      </c>
      <c r="D17" s="7" t="s">
        <v>18</v>
      </c>
      <c r="E17" s="8">
        <v>33.590000000000003</v>
      </c>
      <c r="F17" s="12">
        <f t="shared" si="0"/>
        <v>33.590000000000003</v>
      </c>
      <c r="G17" s="13"/>
    </row>
    <row r="18" spans="1:7">
      <c r="A18" s="7" t="s">
        <v>46</v>
      </c>
      <c r="B18" s="7"/>
      <c r="C18" s="7"/>
      <c r="D18" s="7"/>
      <c r="E18" s="8"/>
      <c r="F18" s="12"/>
      <c r="G18" s="13"/>
    </row>
    <row r="19" spans="1:7">
      <c r="A19" s="7" t="s">
        <v>82</v>
      </c>
      <c r="B19" s="7"/>
      <c r="C19" s="7">
        <v>5</v>
      </c>
      <c r="D19" s="7" t="s">
        <v>47</v>
      </c>
      <c r="E19" s="8">
        <f>Hired_Labor</f>
        <v>12.5</v>
      </c>
      <c r="F19" s="12">
        <f t="shared" si="0"/>
        <v>62.5</v>
      </c>
      <c r="G19" s="13"/>
    </row>
    <row r="20" spans="1:7">
      <c r="A20" s="7"/>
      <c r="B20" s="7"/>
      <c r="C20" s="7"/>
      <c r="D20" s="7"/>
      <c r="E20" s="8"/>
      <c r="F20" s="12"/>
      <c r="G20" s="13"/>
    </row>
    <row r="21" spans="1:7">
      <c r="A21" s="14" t="s">
        <v>31</v>
      </c>
      <c r="B21" s="14"/>
      <c r="C21" s="14">
        <v>1</v>
      </c>
      <c r="D21" s="14" t="s">
        <v>18</v>
      </c>
      <c r="E21" s="15">
        <f>SUM(F12:F20)*0.5*rate</f>
        <v>31.802100000000003</v>
      </c>
      <c r="F21" s="15">
        <f>C21*E21</f>
        <v>31.802100000000003</v>
      </c>
      <c r="G21" s="13"/>
    </row>
    <row r="22" spans="1:7">
      <c r="A22" s="7"/>
      <c r="B22" s="7"/>
      <c r="C22" s="7"/>
      <c r="D22" s="7"/>
      <c r="E22" s="8"/>
      <c r="F22" s="7"/>
      <c r="G22" s="24"/>
    </row>
    <row r="23" spans="1:7" ht="15.75" customHeight="1">
      <c r="A23" s="81" t="s">
        <v>32</v>
      </c>
      <c r="B23" s="21"/>
      <c r="C23" s="21"/>
      <c r="D23" s="21"/>
      <c r="E23" s="44"/>
      <c r="F23" s="45">
        <f>SUM(F11:F21)</f>
        <v>1311.8721</v>
      </c>
      <c r="G23" s="13"/>
    </row>
    <row r="24" spans="1:7" ht="16.5" customHeight="1">
      <c r="A24" s="11" t="s">
        <v>65</v>
      </c>
      <c r="B24" s="7"/>
      <c r="C24" s="7"/>
      <c r="D24" s="7"/>
      <c r="E24" s="8"/>
      <c r="F24" s="17">
        <f>F6-F23</f>
        <v>10688.127899999999</v>
      </c>
      <c r="G24" s="13"/>
    </row>
    <row r="26" spans="1:7">
      <c r="A26" s="42"/>
      <c r="B26" s="42"/>
      <c r="C26" s="42"/>
      <c r="D26" s="42"/>
      <c r="E26" s="43"/>
      <c r="F26" s="42"/>
      <c r="G26" s="42"/>
    </row>
    <row r="27" spans="1:7" ht="13">
      <c r="A27" s="11" t="s">
        <v>34</v>
      </c>
      <c r="B27" s="7"/>
      <c r="C27" s="7"/>
      <c r="D27" s="7"/>
      <c r="E27" s="8"/>
      <c r="F27" s="7"/>
      <c r="G27" s="7"/>
    </row>
    <row r="28" spans="1:7">
      <c r="A28" s="7" t="s">
        <v>51</v>
      </c>
      <c r="B28" s="7"/>
      <c r="C28" s="7">
        <v>1</v>
      </c>
      <c r="D28" s="7" t="s">
        <v>18</v>
      </c>
      <c r="E28" s="8">
        <v>42.85</v>
      </c>
      <c r="F28" s="12">
        <f>C28*E28</f>
        <v>42.85</v>
      </c>
      <c r="G28" s="13"/>
    </row>
    <row r="29" spans="1:7">
      <c r="A29" s="7" t="s">
        <v>89</v>
      </c>
      <c r="B29" s="7"/>
      <c r="C29" s="7">
        <v>1</v>
      </c>
      <c r="D29" s="7" t="s">
        <v>18</v>
      </c>
      <c r="E29" s="8">
        <f>irr_fixed</f>
        <v>257.14285714285717</v>
      </c>
      <c r="F29" s="12">
        <f>C29*E29</f>
        <v>257.14285714285717</v>
      </c>
      <c r="G29" s="18"/>
    </row>
    <row r="30" spans="1:7">
      <c r="A30" s="7" t="s">
        <v>67</v>
      </c>
      <c r="B30" s="7"/>
      <c r="C30" s="7">
        <v>1</v>
      </c>
      <c r="D30" s="7" t="s">
        <v>10</v>
      </c>
      <c r="E30" s="8">
        <f>fixed_ref</f>
        <v>550</v>
      </c>
      <c r="F30" s="12">
        <f>C30*E30</f>
        <v>550</v>
      </c>
      <c r="G30" s="18"/>
    </row>
    <row r="31" spans="1:7">
      <c r="A31" s="7"/>
      <c r="B31" s="7"/>
      <c r="C31" s="7"/>
      <c r="D31" s="7"/>
      <c r="E31" s="8"/>
      <c r="F31" s="7"/>
      <c r="G31" s="7"/>
    </row>
    <row r="32" spans="1:7" ht="15.75" customHeight="1">
      <c r="A32" s="46" t="s">
        <v>36</v>
      </c>
      <c r="B32" s="46"/>
      <c r="C32" s="46"/>
      <c r="D32" s="46"/>
      <c r="E32" s="47"/>
      <c r="F32" s="48">
        <f>SUM(F28:F31)</f>
        <v>849.99285714285725</v>
      </c>
      <c r="G32" s="13"/>
    </row>
    <row r="33" spans="1:8">
      <c r="A33" s="7"/>
      <c r="B33" s="7"/>
      <c r="C33" s="7"/>
      <c r="D33" s="7"/>
      <c r="E33" s="8"/>
      <c r="F33" s="7"/>
      <c r="G33" s="7"/>
      <c r="H33" s="73"/>
    </row>
    <row r="34" spans="1:8">
      <c r="A34" s="7"/>
      <c r="B34" s="7"/>
      <c r="C34" s="7"/>
      <c r="D34" s="7"/>
      <c r="E34" s="8"/>
      <c r="F34" s="7"/>
      <c r="G34" s="7"/>
    </row>
    <row r="35" spans="1:8" ht="15.75" customHeight="1">
      <c r="A35" s="49" t="s">
        <v>62</v>
      </c>
      <c r="B35" s="49"/>
      <c r="C35" s="49"/>
      <c r="D35" s="49"/>
      <c r="E35" s="50"/>
      <c r="F35" s="51">
        <f>F32+F23</f>
        <v>2161.8649571428573</v>
      </c>
      <c r="G35" s="13"/>
    </row>
    <row r="37" spans="1:8">
      <c r="A37" s="42"/>
      <c r="B37" s="42"/>
      <c r="C37" s="42"/>
      <c r="D37" s="42"/>
      <c r="E37" s="43"/>
      <c r="F37" s="42"/>
      <c r="G37" s="53"/>
    </row>
    <row r="38" spans="1:8">
      <c r="A38" s="52" t="s">
        <v>57</v>
      </c>
      <c r="B38" s="24"/>
      <c r="C38" s="24"/>
      <c r="D38" s="24"/>
      <c r="E38" s="29"/>
      <c r="F38" s="30"/>
      <c r="G38" s="13"/>
    </row>
    <row r="39" spans="1:8">
      <c r="A39" s="24" t="s">
        <v>46</v>
      </c>
      <c r="B39" s="24"/>
      <c r="C39" s="24">
        <v>60</v>
      </c>
      <c r="D39" s="24" t="s">
        <v>47</v>
      </c>
      <c r="E39" s="29">
        <f>Hired_Labor</f>
        <v>12.5</v>
      </c>
      <c r="F39" s="31">
        <f>C39*E39</f>
        <v>750</v>
      </c>
      <c r="G39" s="34"/>
    </row>
    <row r="40" spans="1:8">
      <c r="A40" s="24" t="s">
        <v>66</v>
      </c>
      <c r="B40" s="24"/>
      <c r="C40" s="24">
        <f>C6*8</f>
        <v>2400</v>
      </c>
      <c r="D40" s="24" t="s">
        <v>85</v>
      </c>
      <c r="E40" s="29">
        <f>clamshell</f>
        <v>0.05</v>
      </c>
      <c r="F40" s="29">
        <f>C40*E40</f>
        <v>120</v>
      </c>
      <c r="G40" s="34"/>
    </row>
    <row r="41" spans="1:8">
      <c r="A41" s="24" t="s">
        <v>58</v>
      </c>
      <c r="B41" s="24"/>
      <c r="C41" s="32">
        <f>Marketing</f>
        <v>0.1</v>
      </c>
      <c r="D41" s="24" t="s">
        <v>59</v>
      </c>
      <c r="E41" s="29">
        <f>F6</f>
        <v>12000</v>
      </c>
      <c r="F41" s="29">
        <f>C41*E41</f>
        <v>1200</v>
      </c>
      <c r="G41" s="13"/>
    </row>
    <row r="42" spans="1:8">
      <c r="A42" s="24" t="s">
        <v>60</v>
      </c>
      <c r="B42" s="24"/>
      <c r="C42" s="24">
        <v>30</v>
      </c>
      <c r="D42" s="24" t="s">
        <v>61</v>
      </c>
      <c r="E42" s="29">
        <f>daily_ref</f>
        <v>1.22</v>
      </c>
      <c r="F42" s="29">
        <f>C42*E42</f>
        <v>36.6</v>
      </c>
      <c r="G42" s="18"/>
    </row>
    <row r="43" spans="1:8">
      <c r="A43" s="14"/>
      <c r="B43" s="14"/>
      <c r="C43" s="14"/>
      <c r="D43" s="14"/>
      <c r="E43" s="15"/>
      <c r="F43" s="15"/>
      <c r="G43" s="7"/>
    </row>
    <row r="44" spans="1:8" ht="15.75" customHeight="1">
      <c r="A44" s="75" t="s">
        <v>63</v>
      </c>
      <c r="B44" s="75"/>
      <c r="C44" s="75"/>
      <c r="D44" s="75"/>
      <c r="E44" s="76"/>
      <c r="F44" s="76">
        <f>SUM(F39:F43)</f>
        <v>2106.6</v>
      </c>
      <c r="G44" s="13"/>
    </row>
    <row r="45" spans="1:8" ht="15.75" customHeight="1">
      <c r="A45" s="24"/>
      <c r="B45" s="24"/>
      <c r="C45" s="24"/>
      <c r="D45" s="24"/>
      <c r="E45" s="29"/>
      <c r="F45" s="29"/>
      <c r="G45" s="24"/>
    </row>
    <row r="46" spans="1:8" ht="15.75" customHeight="1">
      <c r="A46" s="24"/>
      <c r="B46" s="24"/>
      <c r="C46" s="24"/>
      <c r="D46" s="24"/>
      <c r="E46" s="29"/>
      <c r="F46" s="29">
        <f>C46*E46</f>
        <v>0</v>
      </c>
      <c r="G46" s="13"/>
    </row>
    <row r="47" spans="1:8" ht="15.75" customHeight="1">
      <c r="A47" s="24"/>
      <c r="B47" s="24"/>
      <c r="C47" s="24"/>
      <c r="D47" s="24"/>
      <c r="E47" s="29"/>
      <c r="F47" s="29"/>
      <c r="G47" s="24"/>
    </row>
    <row r="48" spans="1:8" ht="15.75" customHeight="1">
      <c r="A48" s="52" t="s">
        <v>64</v>
      </c>
      <c r="B48" s="52"/>
      <c r="C48" s="52"/>
      <c r="D48" s="52"/>
      <c r="E48" s="54"/>
      <c r="F48" s="54">
        <f>F44+F46</f>
        <v>2106.6</v>
      </c>
      <c r="G48" s="13"/>
    </row>
    <row r="49" spans="1:7" ht="15.75" customHeight="1">
      <c r="A49" s="52" t="s">
        <v>37</v>
      </c>
      <c r="B49" s="52"/>
      <c r="C49" s="52"/>
      <c r="D49" s="52"/>
      <c r="E49" s="54"/>
      <c r="F49" s="54">
        <f>F35+F48</f>
        <v>4268.4649571428572</v>
      </c>
      <c r="G49" s="13"/>
    </row>
    <row r="50" spans="1:7" ht="15.75" customHeight="1">
      <c r="A50" s="24"/>
      <c r="B50" s="24"/>
      <c r="C50" s="24"/>
      <c r="D50" s="24"/>
      <c r="E50" s="29"/>
      <c r="F50" s="29"/>
      <c r="G50" s="24"/>
    </row>
    <row r="51" spans="1:7">
      <c r="A51" s="7" t="s">
        <v>39</v>
      </c>
      <c r="B51" s="7"/>
      <c r="C51" s="20">
        <v>76.75</v>
      </c>
      <c r="D51" s="7" t="s">
        <v>40</v>
      </c>
      <c r="E51" s="8">
        <f>Op_Labor</f>
        <v>15</v>
      </c>
      <c r="F51" s="8">
        <f>C51*E51</f>
        <v>1151.25</v>
      </c>
      <c r="G51" s="13"/>
    </row>
    <row r="52" spans="1:7">
      <c r="A52" s="7" t="s">
        <v>84</v>
      </c>
      <c r="B52" s="7"/>
      <c r="C52" s="20"/>
      <c r="D52" s="7"/>
      <c r="E52" s="8"/>
      <c r="F52" s="12"/>
    </row>
    <row r="53" spans="1:7">
      <c r="A53" s="7"/>
      <c r="B53" s="7"/>
      <c r="C53" s="7"/>
      <c r="D53" s="7"/>
      <c r="E53" s="8"/>
      <c r="F53" s="7"/>
    </row>
    <row r="54" spans="1:7">
      <c r="A54" s="7"/>
      <c r="B54" s="7"/>
      <c r="C54" s="7"/>
      <c r="D54" s="7"/>
      <c r="E54" s="8"/>
      <c r="F54" s="7"/>
    </row>
    <row r="55" spans="1:7">
      <c r="A55" s="7"/>
      <c r="B55" s="7"/>
      <c r="C55" s="7"/>
      <c r="D55" s="7"/>
      <c r="E55" s="8"/>
      <c r="F55" s="7"/>
    </row>
    <row r="56" spans="1:7" ht="13" thickBot="1">
      <c r="A56" s="61" t="s">
        <v>42</v>
      </c>
      <c r="B56" s="62"/>
      <c r="C56" s="62"/>
      <c r="D56" s="62"/>
      <c r="E56" s="74"/>
      <c r="F56" s="64">
        <f>F6-F35-F48-F51</f>
        <v>6580.2850428571419</v>
      </c>
      <c r="G56" s="70"/>
    </row>
    <row r="57" spans="1:7">
      <c r="A57" s="7"/>
      <c r="B57" s="7"/>
      <c r="C57" s="7"/>
      <c r="D57" s="7"/>
      <c r="E57" s="8"/>
      <c r="F57" s="7"/>
    </row>
    <row r="58" spans="1:7">
      <c r="E58" s="22"/>
    </row>
    <row r="59" spans="1:7">
      <c r="E59" s="22"/>
    </row>
    <row r="60" spans="1:7">
      <c r="A60" t="s">
        <v>43</v>
      </c>
      <c r="E60" s="22"/>
    </row>
  </sheetData>
  <phoneticPr fontId="0" type="noConversion"/>
  <pageMargins left="0.75" right="0.75" top="1" bottom="1" header="0.5" footer="0.5"/>
  <pageSetup scale="83" orientation="portrait"/>
  <headerFooter alignWithMargins="0"/>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7</vt:i4>
      </vt:variant>
    </vt:vector>
  </HeadingPairs>
  <TitlesOfParts>
    <vt:vector size="7" baseType="lpstr">
      <vt:lpstr>Variables</vt:lpstr>
      <vt:lpstr>Year 0</vt:lpstr>
      <vt:lpstr>Year 1</vt:lpstr>
      <vt:lpstr>Year 2-3</vt:lpstr>
      <vt:lpstr>Year 4</vt:lpstr>
      <vt:lpstr>Year 5</vt:lpstr>
      <vt:lpstr>Year 6</vt:lpstr>
    </vt:vector>
  </TitlesOfParts>
  <Company>University of Kentucky</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Matt Ernst</dc:creator>
  <cp:lastModifiedBy>Christy Cassady</cp:lastModifiedBy>
  <cp:lastPrinted>2019-12-09T20:31:30Z</cp:lastPrinted>
  <dcterms:created xsi:type="dcterms:W3CDTF">2002-01-24T14:27:08Z</dcterms:created>
  <dcterms:modified xsi:type="dcterms:W3CDTF">2019-12-09T20:42:03Z</dcterms:modified>
</cp:coreProperties>
</file>